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4235" windowHeight="8130"/>
  </bookViews>
  <sheets>
    <sheet name="Summary by Band-Post code !!!" sheetId="4" r:id="rId1"/>
    <sheet name="Summary by Post code" sheetId="5" r:id="rId2"/>
    <sheet name="Sheltered" sheetId="3" state="hidden" r:id="rId3"/>
    <sheet name="Sheet1" sheetId="6" r:id="rId4"/>
  </sheets>
  <calcPr calcId="125725"/>
</workbook>
</file>

<file path=xl/calcChain.xml><?xml version="1.0" encoding="utf-8"?>
<calcChain xmlns="http://schemas.openxmlformats.org/spreadsheetml/2006/main">
  <c r="L30" i="4"/>
  <c r="H13"/>
  <c r="E13"/>
  <c r="H16"/>
  <c r="E16"/>
  <c r="C24" i="5"/>
  <c r="E22" i="4"/>
  <c r="H22"/>
  <c r="H39"/>
  <c r="E39"/>
  <c r="H30"/>
  <c r="E30"/>
  <c r="E31"/>
  <c r="F17"/>
  <c r="H6"/>
  <c r="E6"/>
  <c r="H11"/>
  <c r="E11"/>
  <c r="K13"/>
  <c r="J13"/>
  <c r="F13"/>
  <c r="C21" i="5"/>
  <c r="F24" i="4"/>
  <c r="C10" i="5"/>
  <c r="F39" i="4"/>
  <c r="F38"/>
  <c r="G38"/>
  <c r="F37"/>
  <c r="G37"/>
  <c r="F36"/>
  <c r="G36"/>
  <c r="F35"/>
  <c r="G35"/>
  <c r="F34"/>
  <c r="G34"/>
  <c r="F33"/>
  <c r="G33"/>
  <c r="F32"/>
  <c r="L31"/>
  <c r="K30"/>
  <c r="J30"/>
  <c r="F30"/>
  <c r="G30"/>
  <c r="K29"/>
  <c r="J29"/>
  <c r="F29"/>
  <c r="G29"/>
  <c r="I29"/>
  <c r="F28"/>
  <c r="G28"/>
  <c r="K21"/>
  <c r="J21"/>
  <c r="K22"/>
  <c r="J22"/>
  <c r="F22"/>
  <c r="F21"/>
  <c r="G21"/>
  <c r="I21"/>
  <c r="F11"/>
  <c r="G11"/>
  <c r="L40"/>
  <c r="L12"/>
  <c r="K39"/>
  <c r="J39"/>
  <c r="E40"/>
  <c r="C11" i="5"/>
  <c r="K11" i="4"/>
  <c r="J11"/>
  <c r="F20"/>
  <c r="K20"/>
  <c r="J20"/>
  <c r="E12"/>
  <c r="C8" i="5"/>
  <c r="C12" s="1"/>
  <c r="C15" s="1"/>
  <c r="C26" s="1"/>
  <c r="I8" i="4"/>
  <c r="I7"/>
  <c r="I6"/>
  <c r="K46"/>
  <c r="J46"/>
  <c r="I46"/>
  <c r="F46"/>
  <c r="G46"/>
  <c r="K45"/>
  <c r="J45"/>
  <c r="I45"/>
  <c r="F45"/>
  <c r="G45"/>
  <c r="K44"/>
  <c r="J44"/>
  <c r="I44"/>
  <c r="F44"/>
  <c r="G44"/>
  <c r="K43"/>
  <c r="J43"/>
  <c r="I43"/>
  <c r="F43"/>
  <c r="G43"/>
  <c r="K42"/>
  <c r="J42"/>
  <c r="I42"/>
  <c r="F42"/>
  <c r="G42"/>
  <c r="K41"/>
  <c r="J41"/>
  <c r="I41"/>
  <c r="F41"/>
  <c r="G41"/>
  <c r="H47"/>
  <c r="E47"/>
  <c r="K38"/>
  <c r="J38"/>
  <c r="I38"/>
  <c r="K37"/>
  <c r="J37"/>
  <c r="I37"/>
  <c r="K36"/>
  <c r="J36"/>
  <c r="I36"/>
  <c r="K35"/>
  <c r="J35"/>
  <c r="I35"/>
  <c r="K34"/>
  <c r="J34"/>
  <c r="I34"/>
  <c r="K33"/>
  <c r="J33"/>
  <c r="I33"/>
  <c r="K32"/>
  <c r="J32"/>
  <c r="I32"/>
  <c r="I28"/>
  <c r="K27"/>
  <c r="J27"/>
  <c r="I27"/>
  <c r="F27"/>
  <c r="G27"/>
  <c r="K26"/>
  <c r="J26"/>
  <c r="I26"/>
  <c r="F26"/>
  <c r="G26"/>
  <c r="K25"/>
  <c r="J25"/>
  <c r="I25"/>
  <c r="F25"/>
  <c r="G25"/>
  <c r="F19"/>
  <c r="K18"/>
  <c r="J18"/>
  <c r="I18"/>
  <c r="F18"/>
  <c r="G18"/>
  <c r="K17"/>
  <c r="J17"/>
  <c r="I17"/>
  <c r="G17"/>
  <c r="F16"/>
  <c r="G16"/>
  <c r="K15"/>
  <c r="J15"/>
  <c r="I15"/>
  <c r="F15"/>
  <c r="G15"/>
  <c r="K14"/>
  <c r="J14"/>
  <c r="I14"/>
  <c r="F14"/>
  <c r="G14"/>
  <c r="K10"/>
  <c r="J10"/>
  <c r="I10"/>
  <c r="F10"/>
  <c r="G10"/>
  <c r="K9"/>
  <c r="J9"/>
  <c r="I9"/>
  <c r="F9"/>
  <c r="G9"/>
  <c r="K8"/>
  <c r="J8"/>
  <c r="F8"/>
  <c r="G8"/>
  <c r="K7"/>
  <c r="J7"/>
  <c r="F7"/>
  <c r="G7"/>
  <c r="K6"/>
  <c r="J6"/>
  <c r="F6"/>
  <c r="G6"/>
  <c r="D60" i="3"/>
  <c r="D59"/>
  <c r="D58"/>
  <c r="D57"/>
  <c r="D56"/>
  <c r="D71"/>
  <c r="D70"/>
  <c r="D69"/>
  <c r="D68"/>
  <c r="D67"/>
  <c r="D66"/>
  <c r="D65"/>
  <c r="D64"/>
  <c r="D63"/>
  <c r="D62"/>
  <c r="D61"/>
  <c r="C72"/>
  <c r="C71"/>
  <c r="C70"/>
  <c r="C69"/>
  <c r="C68"/>
  <c r="C67"/>
  <c r="C66"/>
  <c r="C65"/>
  <c r="C64"/>
  <c r="C63"/>
  <c r="C62"/>
  <c r="C61"/>
  <c r="C60"/>
  <c r="C59"/>
  <c r="C58"/>
  <c r="C57"/>
  <c r="C56"/>
  <c r="G42"/>
  <c r="Y36"/>
  <c r="V36"/>
  <c r="Q36"/>
  <c r="Z35"/>
  <c r="AA35"/>
  <c r="W35"/>
  <c r="X35"/>
  <c r="L35"/>
  <c r="M35"/>
  <c r="L34"/>
  <c r="I34"/>
  <c r="J34"/>
  <c r="AB34"/>
  <c r="U32"/>
  <c r="K32"/>
  <c r="K36"/>
  <c r="H32"/>
  <c r="H36"/>
  <c r="E32"/>
  <c r="E36"/>
  <c r="S30"/>
  <c r="P30"/>
  <c r="L30"/>
  <c r="M30"/>
  <c r="I30"/>
  <c r="J30"/>
  <c r="F30"/>
  <c r="G30"/>
  <c r="S31"/>
  <c r="P31"/>
  <c r="N31"/>
  <c r="L31"/>
  <c r="M31"/>
  <c r="I31"/>
  <c r="J31"/>
  <c r="F31"/>
  <c r="G31"/>
  <c r="S23"/>
  <c r="P23"/>
  <c r="N23"/>
  <c r="L23"/>
  <c r="J23"/>
  <c r="I23"/>
  <c r="G23"/>
  <c r="AB23"/>
  <c r="F23"/>
  <c r="U27"/>
  <c r="S27"/>
  <c r="P27"/>
  <c r="N27"/>
  <c r="L27"/>
  <c r="M27"/>
  <c r="I27"/>
  <c r="J27"/>
  <c r="F27"/>
  <c r="G27"/>
  <c r="S5"/>
  <c r="P5"/>
  <c r="N5"/>
  <c r="L5"/>
  <c r="M5"/>
  <c r="I5"/>
  <c r="J5"/>
  <c r="F5"/>
  <c r="G5"/>
  <c r="S25"/>
  <c r="P25"/>
  <c r="N25"/>
  <c r="L25"/>
  <c r="M25"/>
  <c r="I25"/>
  <c r="J25"/>
  <c r="F25"/>
  <c r="G25"/>
  <c r="S26"/>
  <c r="R26"/>
  <c r="P26"/>
  <c r="N26"/>
  <c r="M26"/>
  <c r="L26"/>
  <c r="J26"/>
  <c r="I26"/>
  <c r="G26"/>
  <c r="F26"/>
  <c r="S9"/>
  <c r="P9"/>
  <c r="N9"/>
  <c r="M9"/>
  <c r="L9"/>
  <c r="J9"/>
  <c r="I9"/>
  <c r="G9"/>
  <c r="F9"/>
  <c r="S16"/>
  <c r="P16"/>
  <c r="N16"/>
  <c r="M16"/>
  <c r="L16"/>
  <c r="J16"/>
  <c r="I16"/>
  <c r="G16"/>
  <c r="F16"/>
  <c r="S29"/>
  <c r="P29"/>
  <c r="N29"/>
  <c r="M29"/>
  <c r="L29"/>
  <c r="J29"/>
  <c r="I29"/>
  <c r="G29"/>
  <c r="AB29"/>
  <c r="F29"/>
  <c r="S28"/>
  <c r="P28"/>
  <c r="N28"/>
  <c r="M28"/>
  <c r="L28"/>
  <c r="J28"/>
  <c r="I28"/>
  <c r="G28"/>
  <c r="F28"/>
  <c r="S17"/>
  <c r="P17"/>
  <c r="N17"/>
  <c r="M17"/>
  <c r="L17"/>
  <c r="J17"/>
  <c r="I17"/>
  <c r="G17"/>
  <c r="F17"/>
  <c r="R6"/>
  <c r="S6"/>
  <c r="P6"/>
  <c r="M6"/>
  <c r="L6"/>
  <c r="J6"/>
  <c r="I6"/>
  <c r="G6"/>
  <c r="F6"/>
  <c r="S8"/>
  <c r="P8"/>
  <c r="N8"/>
  <c r="M8"/>
  <c r="L8"/>
  <c r="J8"/>
  <c r="I8"/>
  <c r="G8"/>
  <c r="F8"/>
  <c r="S11"/>
  <c r="P11"/>
  <c r="L11"/>
  <c r="M11"/>
  <c r="I11"/>
  <c r="J11"/>
  <c r="F11"/>
  <c r="G11"/>
  <c r="S15"/>
  <c r="P15"/>
  <c r="N15"/>
  <c r="L15"/>
  <c r="M15"/>
  <c r="I15"/>
  <c r="J15"/>
  <c r="F15"/>
  <c r="G15"/>
  <c r="S10"/>
  <c r="P10"/>
  <c r="N10"/>
  <c r="L10"/>
  <c r="M10"/>
  <c r="I10"/>
  <c r="J10"/>
  <c r="F10"/>
  <c r="G10"/>
  <c r="S13"/>
  <c r="P13"/>
  <c r="M13"/>
  <c r="L13"/>
  <c r="J13"/>
  <c r="I13"/>
  <c r="G13"/>
  <c r="AB13"/>
  <c r="F13"/>
  <c r="S12"/>
  <c r="P12"/>
  <c r="N12"/>
  <c r="M12"/>
  <c r="L12"/>
  <c r="J12"/>
  <c r="I12"/>
  <c r="G12"/>
  <c r="F12"/>
  <c r="S7"/>
  <c r="P7"/>
  <c r="N7"/>
  <c r="M7"/>
  <c r="L7"/>
  <c r="J7"/>
  <c r="I7"/>
  <c r="G7"/>
  <c r="F7"/>
  <c r="S14"/>
  <c r="P14"/>
  <c r="N14"/>
  <c r="M14"/>
  <c r="L14"/>
  <c r="J14"/>
  <c r="I14"/>
  <c r="G14"/>
  <c r="F14"/>
  <c r="S24"/>
  <c r="P24"/>
  <c r="N24"/>
  <c r="M24"/>
  <c r="L24"/>
  <c r="J24"/>
  <c r="I24"/>
  <c r="G24"/>
  <c r="AB24"/>
  <c r="F24"/>
  <c r="S22"/>
  <c r="N22"/>
  <c r="L22"/>
  <c r="M22"/>
  <c r="I22"/>
  <c r="J22"/>
  <c r="F22"/>
  <c r="G22"/>
  <c r="S21"/>
  <c r="P21"/>
  <c r="N21"/>
  <c r="L21"/>
  <c r="M21"/>
  <c r="I21"/>
  <c r="J21"/>
  <c r="F21"/>
  <c r="G21"/>
  <c r="S20"/>
  <c r="P20"/>
  <c r="N20"/>
  <c r="L20"/>
  <c r="M20"/>
  <c r="I20"/>
  <c r="J20"/>
  <c r="F20"/>
  <c r="G20"/>
  <c r="S19"/>
  <c r="P19"/>
  <c r="N19"/>
  <c r="L19"/>
  <c r="M19"/>
  <c r="I19"/>
  <c r="J19"/>
  <c r="F19"/>
  <c r="G19"/>
  <c r="S18"/>
  <c r="P18"/>
  <c r="P32"/>
  <c r="N18"/>
  <c r="N32"/>
  <c r="L18"/>
  <c r="M18"/>
  <c r="I18"/>
  <c r="J18"/>
  <c r="F18"/>
  <c r="G18"/>
  <c r="L49" i="4"/>
  <c r="G13"/>
  <c r="F23"/>
  <c r="L23"/>
  <c r="L48"/>
  <c r="K16"/>
  <c r="J16"/>
  <c r="I16"/>
  <c r="I19"/>
  <c r="G19"/>
  <c r="K19"/>
  <c r="J19"/>
  <c r="I13"/>
  <c r="H40"/>
  <c r="D11" i="5"/>
  <c r="H12" i="4"/>
  <c r="D8" i="5"/>
  <c r="G24" i="4"/>
  <c r="K24"/>
  <c r="J24"/>
  <c r="I24"/>
  <c r="I30"/>
  <c r="H31"/>
  <c r="F31"/>
  <c r="G31"/>
  <c r="F40"/>
  <c r="G40"/>
  <c r="I11"/>
  <c r="K28"/>
  <c r="J28"/>
  <c r="I39"/>
  <c r="G39"/>
  <c r="H23"/>
  <c r="D9" i="5"/>
  <c r="E23" i="4"/>
  <c r="C9" i="5"/>
  <c r="I22" i="4"/>
  <c r="G22"/>
  <c r="I20"/>
  <c r="G20"/>
  <c r="F12"/>
  <c r="G12"/>
  <c r="F47"/>
  <c r="G32"/>
  <c r="D72" i="3"/>
  <c r="J32"/>
  <c r="S32"/>
  <c r="AB12"/>
  <c r="AB10"/>
  <c r="AB11"/>
  <c r="AB28"/>
  <c r="AB26"/>
  <c r="AB31"/>
  <c r="AB7"/>
  <c r="AB6"/>
  <c r="AB17"/>
  <c r="AB9"/>
  <c r="G39"/>
  <c r="G41"/>
  <c r="AB14"/>
  <c r="AB8"/>
  <c r="AB16"/>
  <c r="AB30"/>
  <c r="G32"/>
  <c r="AB18"/>
  <c r="AB20"/>
  <c r="AB22"/>
  <c r="AB5"/>
  <c r="AB35"/>
  <c r="AB15"/>
  <c r="M32"/>
  <c r="AB19"/>
  <c r="AB21"/>
  <c r="AB25"/>
  <c r="AB27"/>
  <c r="I40" i="4"/>
  <c r="I12"/>
  <c r="I31"/>
  <c r="D10" i="5"/>
  <c r="D12"/>
  <c r="G23" i="4"/>
  <c r="I23"/>
  <c r="AB32" i="3"/>
  <c r="AB36"/>
</calcChain>
</file>

<file path=xl/sharedStrings.xml><?xml version="1.0" encoding="utf-8"?>
<sst xmlns="http://schemas.openxmlformats.org/spreadsheetml/2006/main" count="288" uniqueCount="207">
  <si>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</si>
  <si>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</si>
  <si>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</si>
  <si>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</si>
  <si>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</si>
  <si>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</si>
  <si>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</si>
  <si>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% Vacant dwellings</t>
  </si>
  <si>
    <t>% occupied dwellings</t>
  </si>
  <si>
    <t>Tenure Status</t>
  </si>
  <si>
    <t>&lt;£50,000 - £99,000</t>
  </si>
  <si>
    <t>&lt;£50,000</t>
  </si>
  <si>
    <t>£60,000 - £69,999</t>
  </si>
  <si>
    <t>£100,000 - £299,999</t>
  </si>
  <si>
    <t>Total</t>
  </si>
  <si>
    <t>Average</t>
  </si>
  <si>
    <t>£100,000 - £119,999</t>
  </si>
  <si>
    <t>No Void</t>
  </si>
  <si>
    <t>£120,000 - £139,999</t>
  </si>
  <si>
    <t>NE12 8**</t>
  </si>
  <si>
    <t>NE12 9**</t>
  </si>
  <si>
    <t>£140,000 - £159,999</t>
  </si>
  <si>
    <t>NE13 6**</t>
  </si>
  <si>
    <t>NE23 7**</t>
  </si>
  <si>
    <t>NE25 8**</t>
  </si>
  <si>
    <t>£160,000 - £179,999</t>
  </si>
  <si>
    <t>£180,000 - £199,999</t>
  </si>
  <si>
    <t>£90,000 - £99,999</t>
  </si>
  <si>
    <t>£80,000 - £89,999</t>
  </si>
  <si>
    <t>£70,000 - £79,999</t>
  </si>
  <si>
    <t>£50,000 - £59,999</t>
  </si>
  <si>
    <t>£240,000 - £259,999</t>
  </si>
  <si>
    <t>£300,000 - £499,999</t>
  </si>
  <si>
    <t>£450,000 - £499,999</t>
  </si>
  <si>
    <t>NE27 0**</t>
  </si>
  <si>
    <t>NE28 0**</t>
  </si>
  <si>
    <t>NE28 6**</t>
  </si>
  <si>
    <t>NE28 7**</t>
  </si>
  <si>
    <t>NE28 9**</t>
  </si>
  <si>
    <t>NE29 0**</t>
  </si>
  <si>
    <t>NE29 6**</t>
  </si>
  <si>
    <t>NE29 8**</t>
  </si>
  <si>
    <t>NE29 9**</t>
  </si>
  <si>
    <t>NE30 3**</t>
  </si>
  <si>
    <t>NE30 4**</t>
  </si>
  <si>
    <t>£220,000 - £239,999</t>
  </si>
  <si>
    <t>NE7 7**</t>
  </si>
  <si>
    <t>Totals</t>
  </si>
  <si>
    <t>Summary Sheet</t>
  </si>
  <si>
    <t>Post Code</t>
  </si>
  <si>
    <t>No`s</t>
  </si>
  <si>
    <t>Sheltered</t>
  </si>
  <si>
    <t>As At</t>
  </si>
  <si>
    <t>NAME</t>
  </si>
  <si>
    <t>LOCALITY</t>
  </si>
  <si>
    <t>No of Bedsits</t>
  </si>
  <si>
    <t>Value per Bedsit</t>
  </si>
  <si>
    <t>Subtotal</t>
  </si>
  <si>
    <t>1 Bed Flats</t>
  </si>
  <si>
    <t>Value per flat</t>
  </si>
  <si>
    <t>subtotal</t>
  </si>
  <si>
    <t>2 Bed Flats</t>
  </si>
  <si>
    <t>Value of Guest</t>
  </si>
  <si>
    <t>Beds in Warden Acc</t>
  </si>
  <si>
    <t>Value of Warden Acc</t>
  </si>
  <si>
    <t>Res. Bungalow</t>
  </si>
  <si>
    <t>Value Bungalow</t>
  </si>
  <si>
    <t>RWF</t>
  </si>
  <si>
    <t>3 bed house</t>
  </si>
  <si>
    <t>Value</t>
  </si>
  <si>
    <t>Sub-Total</t>
  </si>
  <si>
    <t>4 bed flat</t>
  </si>
  <si>
    <t>Building Value</t>
  </si>
  <si>
    <t>Bawtry Court</t>
  </si>
  <si>
    <t>Battle Hill</t>
  </si>
  <si>
    <t>Flat            3</t>
  </si>
  <si>
    <t>Beadnell Court</t>
  </si>
  <si>
    <t>Flat            2</t>
  </si>
  <si>
    <t>Bisley Court</t>
  </si>
  <si>
    <t>Bonchester Court</t>
  </si>
  <si>
    <t>Broadway Court</t>
  </si>
  <si>
    <t>Carlton Court</t>
  </si>
  <si>
    <t>North Shields</t>
  </si>
  <si>
    <t>House       3</t>
  </si>
  <si>
    <t>Carville House</t>
  </si>
  <si>
    <t>Wallsend</t>
  </si>
  <si>
    <t>House        3</t>
  </si>
  <si>
    <t>Chapelville</t>
  </si>
  <si>
    <t>Seaton Burn</t>
  </si>
  <si>
    <t>Cheviot View</t>
  </si>
  <si>
    <t>West Allotment</t>
  </si>
  <si>
    <t>Crummock Court</t>
  </si>
  <si>
    <t>Howdon</t>
  </si>
  <si>
    <t>Eccles Court</t>
  </si>
  <si>
    <t>Backworth</t>
  </si>
  <si>
    <t>Eldon Court</t>
  </si>
  <si>
    <t>Willington Quay</t>
  </si>
  <si>
    <t>Emmerson Place</t>
  </si>
  <si>
    <t>Shiremoor</t>
  </si>
  <si>
    <t>Bungalow   3</t>
  </si>
  <si>
    <t>Annitsford</t>
  </si>
  <si>
    <t>Feetham Court</t>
  </si>
  <si>
    <t>Palmersville</t>
  </si>
  <si>
    <t>Ferndene</t>
  </si>
  <si>
    <t>Rosehill</t>
  </si>
  <si>
    <t>Phoenix House</t>
  </si>
  <si>
    <t>New York</t>
  </si>
  <si>
    <t>Preston Court</t>
  </si>
  <si>
    <t>Rosebank Hall</t>
  </si>
  <si>
    <t>Roseberry Court</t>
  </si>
  <si>
    <t>Whitley Bay</t>
  </si>
  <si>
    <t>Rudyerd Court</t>
  </si>
  <si>
    <t>Skipsey Court</t>
  </si>
  <si>
    <t>Southgate Court</t>
  </si>
  <si>
    <t>Longbenton</t>
  </si>
  <si>
    <t>Tamar Court</t>
  </si>
  <si>
    <t>bedsit</t>
  </si>
  <si>
    <t>The Orchard</t>
  </si>
  <si>
    <t>Victoria Court</t>
  </si>
  <si>
    <t>Cullercoats</t>
  </si>
  <si>
    <t>Wallington Court</t>
  </si>
  <si>
    <t>House       2</t>
  </si>
  <si>
    <t>Homeless/YPS Units</t>
  </si>
  <si>
    <t>Purley Close DAU</t>
  </si>
  <si>
    <t>Alexandra Street DAU</t>
  </si>
  <si>
    <t xml:space="preserve">Bedsits </t>
  </si>
  <si>
    <t>Flats</t>
  </si>
  <si>
    <t>Stock Numbers</t>
  </si>
  <si>
    <t>Flats (1 bed)</t>
  </si>
  <si>
    <t>Bung</t>
  </si>
  <si>
    <t>All</t>
  </si>
  <si>
    <t>Flats (2 bed)</t>
  </si>
  <si>
    <t xml:space="preserve"> Houses</t>
  </si>
  <si>
    <t>Flats (4 bed)</t>
  </si>
  <si>
    <t>Split Between</t>
  </si>
  <si>
    <t>Guest Bedroom</t>
  </si>
  <si>
    <t>Homeless</t>
  </si>
  <si>
    <t>1 Bed Caretakers Flat</t>
  </si>
  <si>
    <t>2 Bed Caretakers Flat</t>
  </si>
  <si>
    <t>3 Bed Caretakers Flat</t>
  </si>
  <si>
    <t>2 Bed Caretakers Bungalows</t>
  </si>
  <si>
    <t>3 Bed Caretakers Bungalows</t>
  </si>
  <si>
    <t>2 Bed Caretakers House</t>
  </si>
  <si>
    <t>3 Bed Caretakers House</t>
  </si>
  <si>
    <t>3 bed houses</t>
  </si>
  <si>
    <t>Increase in Purley 2.18%</t>
  </si>
  <si>
    <t>NE29 9PQ</t>
  </si>
  <si>
    <t>NE29 8SU</t>
  </si>
  <si>
    <t>NE29 6RR</t>
  </si>
  <si>
    <t>NE29 6JR</t>
  </si>
  <si>
    <t>NE29 8QR</t>
  </si>
  <si>
    <t>NE27 0NQ</t>
  </si>
  <si>
    <t>NE25 8JD</t>
  </si>
  <si>
    <t>NE30 4QR</t>
  </si>
  <si>
    <t>NE30 3SQ</t>
  </si>
  <si>
    <t>NE12 9QJ</t>
  </si>
  <si>
    <t>Fernlea</t>
  </si>
  <si>
    <t>NE27 0JU</t>
  </si>
  <si>
    <t>NE28 0NL</t>
  </si>
  <si>
    <t>NE27 0RA</t>
  </si>
  <si>
    <t>Dispersed</t>
  </si>
  <si>
    <t>YPS</t>
  </si>
  <si>
    <t>NE28 9AT</t>
  </si>
  <si>
    <t>NE28 9EB</t>
  </si>
  <si>
    <t>NE28 9RN</t>
  </si>
  <si>
    <t>NE28 9SB</t>
  </si>
  <si>
    <t>NE28 6DX</t>
  </si>
  <si>
    <t>NE12 8UW</t>
  </si>
  <si>
    <t>NE29 0HB</t>
  </si>
  <si>
    <t>NE28 7BT</t>
  </si>
  <si>
    <t>NE28 7HT</t>
  </si>
  <si>
    <t>NE23 7DW</t>
  </si>
  <si>
    <t>NE28 6SF</t>
  </si>
  <si>
    <t>NE13 6EB</t>
  </si>
  <si>
    <t>NE28 9XW</t>
  </si>
  <si>
    <t>NE29 0LB</t>
  </si>
  <si>
    <t>NE28 0QB</t>
  </si>
  <si>
    <t>Nos</t>
  </si>
  <si>
    <t>Values</t>
  </si>
  <si>
    <t>&lt; £50,000</t>
  </si>
  <si>
    <t>50,000 - 59999</t>
  </si>
  <si>
    <t>60,000 - 69,999</t>
  </si>
  <si>
    <t>NE12 ***</t>
  </si>
  <si>
    <t>NE28 ***</t>
  </si>
  <si>
    <t>NE29 ***</t>
  </si>
  <si>
    <t xml:space="preserve">NE07 *** NE13 *** NE23 *** NE25 *** NE26 *** NE27 ***  NE30 ***  </t>
  </si>
  <si>
    <t>Various</t>
  </si>
  <si>
    <t>£120,000 - £159,999</t>
  </si>
  <si>
    <t>&lt;£50,000 - £159,999</t>
  </si>
  <si>
    <t>NE13,NE23,NE25,NE26,NE27 ***,</t>
  </si>
  <si>
    <t>General Stock Totals</t>
  </si>
  <si>
    <t>£180,000 - £999,999</t>
  </si>
  <si>
    <t>£120,000 - £179,999</t>
  </si>
  <si>
    <t>£100,000 - £999,999</t>
  </si>
  <si>
    <t>&lt; £69,999</t>
  </si>
  <si>
    <t>&lt; £59,999</t>
  </si>
  <si>
    <t>Valuations of a Registered Social housing provider housing stock for secured lending purposes shall be  on the basis of either,</t>
  </si>
  <si>
    <t>Market Value or Existing user value for social housing  (EUV- SH)</t>
  </si>
  <si>
    <t>Market value - This is the estimated value that the dwelling would be worth on the open market</t>
  </si>
  <si>
    <t>Existing User value for social Housing (EUV-SH) - Market Valuation discounted to account for the dwellling would be remain at existing use. Eg tenanted social rented accommodation</t>
  </si>
  <si>
    <t>Difference</t>
  </si>
  <si>
    <t>Less awaiting disposal</t>
  </si>
  <si>
    <t>General Stock</t>
  </si>
  <si>
    <t>Affordable</t>
  </si>
  <si>
    <t>Less PFI Duplicates</t>
  </si>
  <si>
    <t>Social Housing Asset data 2016 (Excludes Sheltered PFI scheme dwellings and dwellings awaiting disposal)</t>
  </si>
  <si>
    <t>Capital asset Totals</t>
  </si>
</sst>
</file>

<file path=xl/styles.xml><?xml version="1.0" encoding="utf-8"?>
<styleSheet xmlns="http://schemas.openxmlformats.org/spreadsheetml/2006/main">
  <numFmts count="3">
    <numFmt numFmtId="42" formatCode="_-&quot;£&quot;* #,##0_-;\-&quot;£&quot;* #,##0_-;_-&quot;£&quot;* &quot;-&quot;_-;_-@_-"/>
    <numFmt numFmtId="164" formatCode="&quot;£&quot;#,##0"/>
    <numFmt numFmtId="165" formatCode="#,##0_ ;\-#,##0\ 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Font="1" applyBorder="1" applyAlignment="1">
      <alignment horizontal="center" wrapText="1"/>
    </xf>
    <xf numFmtId="3" fontId="0" fillId="0" borderId="0" xfId="0" applyNumberFormat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4" fillId="0" borderId="1" xfId="0" applyFont="1" applyBorder="1" applyAlignment="1">
      <alignment horizontal="right"/>
    </xf>
    <xf numFmtId="0" fontId="4" fillId="0" borderId="1" xfId="0" applyFont="1" applyBorder="1"/>
    <xf numFmtId="164" fontId="4" fillId="0" borderId="1" xfId="0" applyNumberFormat="1" applyFont="1" applyBorder="1"/>
    <xf numFmtId="2" fontId="4" fillId="0" borderId="1" xfId="0" applyNumberFormat="1" applyFont="1" applyBorder="1"/>
    <xf numFmtId="0" fontId="4" fillId="0" borderId="0" xfId="0" applyFont="1"/>
    <xf numFmtId="3" fontId="4" fillId="0" borderId="1" xfId="0" applyNumberFormat="1" applyFont="1" applyBorder="1"/>
    <xf numFmtId="0" fontId="5" fillId="0" borderId="0" xfId="0" applyFont="1"/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Border="1"/>
    <xf numFmtId="0" fontId="1" fillId="0" borderId="0" xfId="0" applyFont="1" applyBorder="1"/>
    <xf numFmtId="0" fontId="1" fillId="2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3" borderId="0" xfId="0" applyFont="1" applyFill="1"/>
    <xf numFmtId="0" fontId="2" fillId="0" borderId="0" xfId="0" applyFont="1"/>
    <xf numFmtId="0" fontId="0" fillId="0" borderId="0" xfId="0" applyAlignment="1"/>
    <xf numFmtId="0" fontId="0" fillId="2" borderId="0" xfId="0" applyFill="1" applyBorder="1"/>
    <xf numFmtId="0" fontId="0" fillId="0" borderId="0" xfId="0" applyBorder="1"/>
    <xf numFmtId="0" fontId="0" fillId="2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3" borderId="0" xfId="0" applyFill="1"/>
    <xf numFmtId="42" fontId="0" fillId="2" borderId="0" xfId="0" applyNumberFormat="1" applyFill="1" applyBorder="1"/>
    <xf numFmtId="42" fontId="0" fillId="2" borderId="0" xfId="0" applyNumberFormat="1" applyFill="1"/>
    <xf numFmtId="164" fontId="0" fillId="2" borderId="0" xfId="0" applyNumberFormat="1" applyFill="1" applyBorder="1"/>
    <xf numFmtId="164" fontId="0" fillId="2" borderId="0" xfId="0" applyNumberFormat="1" applyFill="1"/>
    <xf numFmtId="42" fontId="0" fillId="0" borderId="0" xfId="0" applyNumberFormat="1" applyBorder="1"/>
    <xf numFmtId="42" fontId="0" fillId="0" borderId="0" xfId="0" applyNumberFormat="1" applyFill="1" applyBorder="1"/>
    <xf numFmtId="42" fontId="0" fillId="3" borderId="0" xfId="0" applyNumberFormat="1" applyFill="1"/>
    <xf numFmtId="0" fontId="0" fillId="0" borderId="0" xfId="0" applyFill="1"/>
    <xf numFmtId="0" fontId="0" fillId="0" borderId="0" xfId="0" applyNumberFormat="1" applyBorder="1"/>
    <xf numFmtId="164" fontId="0" fillId="0" borderId="0" xfId="0" applyNumberFormat="1" applyFill="1"/>
    <xf numFmtId="0" fontId="0" fillId="0" borderId="5" xfId="0" applyBorder="1"/>
    <xf numFmtId="0" fontId="0" fillId="0" borderId="5" xfId="0" applyFill="1" applyBorder="1"/>
    <xf numFmtId="0" fontId="0" fillId="2" borderId="0" xfId="0" applyNumberFormat="1" applyFill="1" applyBorder="1"/>
    <xf numFmtId="42" fontId="1" fillId="0" borderId="0" xfId="0" applyNumberFormat="1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4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/>
    <xf numFmtId="3" fontId="4" fillId="0" borderId="0" xfId="0" applyNumberFormat="1" applyFont="1"/>
    <xf numFmtId="164" fontId="3" fillId="0" borderId="0" xfId="0" applyNumberFormat="1" applyFont="1"/>
    <xf numFmtId="0" fontId="0" fillId="0" borderId="1" xfId="0" applyFill="1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vertical="top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3" fontId="0" fillId="0" borderId="0" xfId="0" applyNumberFormat="1" applyFont="1"/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164" fontId="4" fillId="0" borderId="6" xfId="0" applyNumberFormat="1" applyFont="1" applyBorder="1" applyAlignment="1">
      <alignment horizontal="center" vertical="top" wrapText="1"/>
    </xf>
    <xf numFmtId="0" fontId="0" fillId="0" borderId="6" xfId="0" applyBorder="1" applyAlignment="1">
      <alignment wrapText="1"/>
    </xf>
    <xf numFmtId="0" fontId="0" fillId="0" borderId="5" xfId="0" applyBorder="1" applyAlignment="1"/>
    <xf numFmtId="0" fontId="0" fillId="0" borderId="7" xfId="0" applyBorder="1" applyAlignme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54"/>
  <sheetViews>
    <sheetView tabSelected="1" topLeftCell="C1" workbookViewId="0">
      <selection activeCell="K35" sqref="K35"/>
    </sheetView>
  </sheetViews>
  <sheetFormatPr defaultRowHeight="15"/>
  <cols>
    <col min="1" max="1" width="2.42578125" customWidth="1"/>
    <col min="2" max="2" width="12.42578125" customWidth="1"/>
    <col min="3" max="3" width="17.42578125" customWidth="1"/>
    <col min="4" max="4" width="18.42578125" customWidth="1"/>
    <col min="5" max="5" width="14.85546875" customWidth="1"/>
    <col min="6" max="6" width="14" style="5" customWidth="1"/>
    <col min="7" max="7" width="9.140625" style="5"/>
    <col min="8" max="8" width="17.5703125" style="5" bestFit="1" customWidth="1"/>
    <col min="9" max="9" width="9.140625" style="5"/>
    <col min="10" max="10" width="12.5703125" customWidth="1"/>
    <col min="11" max="11" width="9.5703125" bestFit="1" customWidth="1"/>
    <col min="12" max="12" width="9.28515625" hidden="1" customWidth="1"/>
  </cols>
  <sheetData>
    <row r="1" spans="2:12">
      <c r="B1" s="16" t="s">
        <v>205</v>
      </c>
    </row>
    <row r="3" spans="2:12" s="3" customFormat="1" ht="30">
      <c r="B3" s="68" t="s">
        <v>0</v>
      </c>
      <c r="C3" s="68" t="s">
        <v>1</v>
      </c>
      <c r="D3" s="4" t="s">
        <v>2</v>
      </c>
      <c r="E3" s="70" t="s">
        <v>3</v>
      </c>
      <c r="F3" s="71"/>
      <c r="G3" s="71"/>
      <c r="H3" s="71"/>
      <c r="I3" s="72"/>
      <c r="J3" s="70" t="s">
        <v>9</v>
      </c>
      <c r="K3" s="72"/>
    </row>
    <row r="4" spans="2:12" s="1" customFormat="1" ht="50.25" customHeight="1">
      <c r="B4" s="19"/>
      <c r="C4" s="20"/>
      <c r="D4" s="21"/>
      <c r="E4" s="65" t="s">
        <v>4</v>
      </c>
      <c r="F4" s="73" t="s">
        <v>5</v>
      </c>
      <c r="G4" s="73"/>
      <c r="H4" s="73" t="s">
        <v>6</v>
      </c>
      <c r="I4" s="73"/>
      <c r="J4" s="65" t="s">
        <v>8</v>
      </c>
      <c r="K4" s="65" t="s">
        <v>7</v>
      </c>
      <c r="L4" s="6" t="s">
        <v>17</v>
      </c>
    </row>
    <row r="5" spans="2:12" s="1" customFormat="1" ht="16.5" customHeight="1">
      <c r="B5" s="2"/>
      <c r="C5" s="2"/>
      <c r="D5" s="2"/>
      <c r="E5" s="2"/>
      <c r="F5" s="66" t="s">
        <v>14</v>
      </c>
      <c r="G5" s="66" t="s">
        <v>15</v>
      </c>
      <c r="H5" s="66" t="s">
        <v>14</v>
      </c>
      <c r="I5" s="67" t="s">
        <v>15</v>
      </c>
      <c r="J5" s="8"/>
      <c r="K5" s="2"/>
    </row>
    <row r="6" spans="2:12">
      <c r="B6" s="9" t="s">
        <v>182</v>
      </c>
      <c r="C6" s="9" t="s">
        <v>10</v>
      </c>
      <c r="D6" s="9" t="s">
        <v>194</v>
      </c>
      <c r="E6" s="9">
        <f>8+40</f>
        <v>48</v>
      </c>
      <c r="F6" s="10">
        <f t="shared" ref="F6:F11" si="0">H6*37%</f>
        <v>1117770</v>
      </c>
      <c r="G6" s="10">
        <f>IFERROR(F6/E6,0)</f>
        <v>23286.875</v>
      </c>
      <c r="H6" s="10">
        <f>382000+2639000</f>
        <v>3021000</v>
      </c>
      <c r="I6" s="10">
        <f>IFERROR(H6/E6,0)</f>
        <v>62937.5</v>
      </c>
      <c r="J6" s="8">
        <f t="shared" ref="J6:J39" si="1">IFERROR(100-K6,0)</f>
        <v>100</v>
      </c>
      <c r="K6" s="8">
        <f>IFERROR(L6/E6%,0)</f>
        <v>0</v>
      </c>
      <c r="L6">
        <v>0</v>
      </c>
    </row>
    <row r="7" spans="2:12">
      <c r="B7" s="9"/>
      <c r="C7" s="9"/>
      <c r="D7" s="9" t="s">
        <v>29</v>
      </c>
      <c r="E7" s="9">
        <v>1095</v>
      </c>
      <c r="F7" s="10">
        <f t="shared" si="0"/>
        <v>29572534.899999999</v>
      </c>
      <c r="G7" s="10">
        <f>IFERROR(F7/E7,0)</f>
        <v>27006.881187214611</v>
      </c>
      <c r="H7" s="10">
        <v>79925770</v>
      </c>
      <c r="I7" s="10">
        <f>IFERROR(H7/E7,0)</f>
        <v>72991.570776255714</v>
      </c>
      <c r="J7" s="8">
        <f t="shared" si="1"/>
        <v>99.543378995433784</v>
      </c>
      <c r="K7" s="8">
        <f t="shared" ref="K7:K39" si="2">IFERROR(L7/E7%,0)</f>
        <v>0.45662100456621008</v>
      </c>
      <c r="L7">
        <v>5</v>
      </c>
    </row>
    <row r="8" spans="2:12">
      <c r="B8" s="9"/>
      <c r="C8" s="9"/>
      <c r="D8" s="9" t="s">
        <v>28</v>
      </c>
      <c r="E8" s="9">
        <v>694</v>
      </c>
      <c r="F8" s="10">
        <f t="shared" si="0"/>
        <v>21902958.079999998</v>
      </c>
      <c r="G8" s="10">
        <f>IFERROR(F8/E8,0)</f>
        <v>31560.458328530258</v>
      </c>
      <c r="H8" s="10">
        <v>59197184</v>
      </c>
      <c r="I8" s="10">
        <f>IFERROR(H8/E8,0)</f>
        <v>85298.536023054752</v>
      </c>
      <c r="J8" s="8">
        <f t="shared" si="1"/>
        <v>99.423631123919307</v>
      </c>
      <c r="K8" s="8">
        <f t="shared" si="2"/>
        <v>0.57636887608069165</v>
      </c>
      <c r="L8">
        <v>4</v>
      </c>
    </row>
    <row r="9" spans="2:12">
      <c r="B9" s="9"/>
      <c r="C9" s="9"/>
      <c r="D9" s="9" t="s">
        <v>27</v>
      </c>
      <c r="E9" s="9">
        <v>217</v>
      </c>
      <c r="F9" s="10">
        <f t="shared" si="0"/>
        <v>7478837.3799999999</v>
      </c>
      <c r="G9" s="10">
        <f t="shared" ref="G9:G17" si="3">IFERROR(F9/E9,0)</f>
        <v>34464.688387096772</v>
      </c>
      <c r="H9" s="10">
        <v>20213074</v>
      </c>
      <c r="I9" s="10">
        <f t="shared" ref="I9:I17" si="4">IFERROR(H9/E9,0)</f>
        <v>93147.806451612909</v>
      </c>
      <c r="J9" s="8">
        <f t="shared" si="1"/>
        <v>100</v>
      </c>
      <c r="K9" s="8">
        <f t="shared" si="2"/>
        <v>0</v>
      </c>
      <c r="L9">
        <v>0</v>
      </c>
    </row>
    <row r="10" spans="2:12">
      <c r="B10" s="9"/>
      <c r="C10" s="9" t="s">
        <v>13</v>
      </c>
      <c r="D10" s="9" t="s">
        <v>16</v>
      </c>
      <c r="E10" s="9">
        <v>761</v>
      </c>
      <c r="F10" s="10">
        <f t="shared" si="0"/>
        <v>30602919.039999999</v>
      </c>
      <c r="G10" s="10">
        <f t="shared" si="3"/>
        <v>40214.085466491459</v>
      </c>
      <c r="H10" s="10">
        <v>82710592</v>
      </c>
      <c r="I10" s="10">
        <f t="shared" si="4"/>
        <v>108686.71747700394</v>
      </c>
      <c r="J10" s="8">
        <f t="shared" si="1"/>
        <v>99.474375821287779</v>
      </c>
      <c r="K10" s="8">
        <f t="shared" si="2"/>
        <v>0.52562417871222078</v>
      </c>
      <c r="L10">
        <v>4</v>
      </c>
    </row>
    <row r="11" spans="2:12">
      <c r="B11" s="9"/>
      <c r="C11" s="9"/>
      <c r="D11" s="9" t="s">
        <v>187</v>
      </c>
      <c r="E11" s="9">
        <f>159+1</f>
        <v>160</v>
      </c>
      <c r="F11" s="10">
        <f t="shared" si="0"/>
        <v>7472830.7999999998</v>
      </c>
      <c r="G11" s="10">
        <f t="shared" si="3"/>
        <v>46705.192499999997</v>
      </c>
      <c r="H11" s="10">
        <f>20056340+140500</f>
        <v>20196840</v>
      </c>
      <c r="I11" s="10">
        <f t="shared" si="4"/>
        <v>126230.25</v>
      </c>
      <c r="J11" s="8">
        <f t="shared" si="1"/>
        <v>99.375</v>
      </c>
      <c r="K11" s="8">
        <f t="shared" si="2"/>
        <v>0.625</v>
      </c>
      <c r="L11">
        <v>1</v>
      </c>
    </row>
    <row r="12" spans="2:12" s="16" customFormat="1">
      <c r="B12" s="13"/>
      <c r="C12" s="12" t="s">
        <v>182</v>
      </c>
      <c r="D12" s="12" t="s">
        <v>47</v>
      </c>
      <c r="E12" s="13">
        <f>SUM(E6:E11)</f>
        <v>2975</v>
      </c>
      <c r="F12" s="14">
        <f>SUM(F6:F11)</f>
        <v>98147850.200000003</v>
      </c>
      <c r="G12" s="10">
        <f t="shared" si="3"/>
        <v>32990.874016806723</v>
      </c>
      <c r="H12" s="14">
        <f>SUM(H6:H11)</f>
        <v>265264460</v>
      </c>
      <c r="I12" s="10">
        <f t="shared" si="4"/>
        <v>89164.524369747902</v>
      </c>
      <c r="J12" s="15"/>
      <c r="K12" s="15"/>
      <c r="L12" s="16">
        <f>SUM(L6:L11)</f>
        <v>14</v>
      </c>
    </row>
    <row r="13" spans="2:12">
      <c r="B13" s="74" t="s">
        <v>185</v>
      </c>
      <c r="C13" s="9" t="s">
        <v>10</v>
      </c>
      <c r="D13" s="9" t="s">
        <v>195</v>
      </c>
      <c r="E13" s="9">
        <f>1+87-1</f>
        <v>87</v>
      </c>
      <c r="F13" s="10">
        <f t="shared" ref="F13:F22" si="5">H13*37%</f>
        <v>1728725.1</v>
      </c>
      <c r="G13" s="10">
        <f t="shared" si="3"/>
        <v>19870.403448275862</v>
      </c>
      <c r="H13" s="10">
        <f>32371+4691392-51533</f>
        <v>4672230</v>
      </c>
      <c r="I13" s="10">
        <f t="shared" si="4"/>
        <v>53703.793103448275</v>
      </c>
      <c r="J13" s="8">
        <f>IFERROR(100-K13,0)</f>
        <v>98.850574712643677</v>
      </c>
      <c r="K13" s="8">
        <f>IFERROR(L13/E13%,0)</f>
        <v>1.1494252873563218</v>
      </c>
      <c r="L13">
        <v>1</v>
      </c>
    </row>
    <row r="14" spans="2:12">
      <c r="B14" s="75"/>
      <c r="C14" s="9"/>
      <c r="D14" s="9" t="s">
        <v>12</v>
      </c>
      <c r="E14" s="9">
        <v>174</v>
      </c>
      <c r="F14" s="10">
        <f t="shared" si="5"/>
        <v>4189681.68</v>
      </c>
      <c r="G14" s="10">
        <f t="shared" si="3"/>
        <v>24078.630344827587</v>
      </c>
      <c r="H14" s="10">
        <v>11323464</v>
      </c>
      <c r="I14" s="10">
        <f t="shared" si="4"/>
        <v>65077.379310344826</v>
      </c>
      <c r="J14" s="8">
        <f>IFERROR(100-K14,0)</f>
        <v>98.850574712643677</v>
      </c>
      <c r="K14" s="8">
        <f>IFERROR(L14/E14%,0)</f>
        <v>1.1494252873563218</v>
      </c>
      <c r="L14">
        <v>2</v>
      </c>
    </row>
    <row r="15" spans="2:12">
      <c r="B15" s="75"/>
      <c r="C15" s="9"/>
      <c r="D15" s="9" t="s">
        <v>29</v>
      </c>
      <c r="E15" s="9">
        <v>505</v>
      </c>
      <c r="F15" s="10">
        <f t="shared" si="5"/>
        <v>13704535.82</v>
      </c>
      <c r="G15" s="10">
        <f t="shared" si="3"/>
        <v>27137.694693069308</v>
      </c>
      <c r="H15" s="10">
        <v>37039286</v>
      </c>
      <c r="I15" s="10">
        <f t="shared" si="4"/>
        <v>73345.120792079208</v>
      </c>
      <c r="J15" s="8">
        <f>IFERROR(100-K15,0)</f>
        <v>98.811881188118818</v>
      </c>
      <c r="K15" s="8">
        <f>IFERROR(L15/E15%,0)</f>
        <v>1.1881188118811881</v>
      </c>
      <c r="L15">
        <v>6</v>
      </c>
    </row>
    <row r="16" spans="2:12" ht="15" customHeight="1">
      <c r="B16" s="75"/>
      <c r="C16" s="9"/>
      <c r="D16" s="9" t="s">
        <v>28</v>
      </c>
      <c r="E16" s="9">
        <f>1068-1</f>
        <v>1067</v>
      </c>
      <c r="F16" s="10">
        <f t="shared" si="5"/>
        <v>33075595.739999998</v>
      </c>
      <c r="G16" s="10">
        <f t="shared" si="3"/>
        <v>30998.68391752577</v>
      </c>
      <c r="H16" s="10">
        <f>89479038-85536</f>
        <v>89393502</v>
      </c>
      <c r="I16" s="10">
        <f t="shared" si="4"/>
        <v>83780.226804123711</v>
      </c>
      <c r="J16" s="8">
        <f>IFERROR(100-K16,0)</f>
        <v>99.437675726335513</v>
      </c>
      <c r="K16" s="8">
        <f>IFERROR(L16/E16%,0)</f>
        <v>0.5623242736644799</v>
      </c>
      <c r="L16">
        <v>6</v>
      </c>
    </row>
    <row r="17" spans="2:12">
      <c r="B17" s="75"/>
      <c r="C17" s="9"/>
      <c r="D17" s="9" t="s">
        <v>27</v>
      </c>
      <c r="E17" s="9">
        <v>542</v>
      </c>
      <c r="F17" s="10">
        <f t="shared" si="5"/>
        <v>18542722.419999998</v>
      </c>
      <c r="G17" s="10">
        <f t="shared" si="3"/>
        <v>34211.664981549809</v>
      </c>
      <c r="H17" s="10">
        <v>50115466</v>
      </c>
      <c r="I17" s="10">
        <f t="shared" si="4"/>
        <v>92463.959409594099</v>
      </c>
      <c r="J17" s="8">
        <f>IFERROR(100-K17,0)</f>
        <v>99.630996309963095</v>
      </c>
      <c r="K17" s="8">
        <f>IFERROR(L17/E17%,0)</f>
        <v>0.36900369003690037</v>
      </c>
      <c r="L17">
        <v>2</v>
      </c>
    </row>
    <row r="18" spans="2:12">
      <c r="B18" s="76"/>
      <c r="C18" s="9" t="s">
        <v>193</v>
      </c>
      <c r="D18" s="9" t="s">
        <v>16</v>
      </c>
      <c r="E18" s="9">
        <v>506</v>
      </c>
      <c r="F18" s="10">
        <f t="shared" si="5"/>
        <v>19641452.59</v>
      </c>
      <c r="G18" s="10">
        <f t="shared" ref="G18:G40" si="6">IFERROR(F18/E18,0)</f>
        <v>38817.099980237152</v>
      </c>
      <c r="H18" s="10">
        <v>53085007</v>
      </c>
      <c r="I18" s="10">
        <f t="shared" ref="I18:I31" si="7">IFERROR(H18/E18,0)</f>
        <v>104911.08102766798</v>
      </c>
      <c r="J18" s="8">
        <f t="shared" si="1"/>
        <v>99.407114624505923</v>
      </c>
      <c r="K18" s="8">
        <f t="shared" si="2"/>
        <v>0.59288537549407117</v>
      </c>
      <c r="L18">
        <v>3</v>
      </c>
    </row>
    <row r="19" spans="2:12">
      <c r="B19" s="9"/>
      <c r="C19" s="9"/>
      <c r="D19" s="9" t="s">
        <v>18</v>
      </c>
      <c r="E19" s="9">
        <v>441</v>
      </c>
      <c r="F19" s="10">
        <f t="shared" si="5"/>
        <v>21069970.789999999</v>
      </c>
      <c r="G19" s="10">
        <f t="shared" si="6"/>
        <v>47777.711541950113</v>
      </c>
      <c r="H19" s="10">
        <v>56945867</v>
      </c>
      <c r="I19" s="10">
        <f t="shared" si="7"/>
        <v>129128.95011337868</v>
      </c>
      <c r="J19" s="8">
        <f t="shared" si="1"/>
        <v>99.319727891156461</v>
      </c>
      <c r="K19" s="8">
        <f t="shared" si="2"/>
        <v>0.68027210884353739</v>
      </c>
      <c r="L19">
        <v>3</v>
      </c>
    </row>
    <row r="20" spans="2:12">
      <c r="B20" s="9"/>
      <c r="C20" s="9"/>
      <c r="D20" s="9" t="s">
        <v>21</v>
      </c>
      <c r="E20" s="9">
        <v>185</v>
      </c>
      <c r="F20" s="10">
        <f t="shared" si="5"/>
        <v>10272822.82</v>
      </c>
      <c r="G20" s="10">
        <f t="shared" si="6"/>
        <v>55528.772000000004</v>
      </c>
      <c r="H20" s="10">
        <v>27764386</v>
      </c>
      <c r="I20" s="10">
        <f t="shared" si="7"/>
        <v>150077.76216216217</v>
      </c>
      <c r="J20" s="8">
        <f t="shared" si="1"/>
        <v>98.918918918918919</v>
      </c>
      <c r="K20" s="8">
        <f t="shared" si="2"/>
        <v>1.0810810810810809</v>
      </c>
      <c r="L20">
        <v>2</v>
      </c>
    </row>
    <row r="21" spans="2:12">
      <c r="B21" s="9"/>
      <c r="C21" s="9"/>
      <c r="D21" s="9" t="s">
        <v>25</v>
      </c>
      <c r="E21" s="9">
        <v>22</v>
      </c>
      <c r="F21" s="10">
        <f t="shared" si="5"/>
        <v>1352470.6199999999</v>
      </c>
      <c r="G21" s="10">
        <f t="shared" si="6"/>
        <v>61475.937272727264</v>
      </c>
      <c r="H21" s="10">
        <v>3655326</v>
      </c>
      <c r="I21" s="10">
        <f t="shared" si="7"/>
        <v>166151.18181818182</v>
      </c>
      <c r="J21" s="8">
        <f t="shared" si="1"/>
        <v>100</v>
      </c>
      <c r="K21" s="8">
        <f t="shared" si="2"/>
        <v>0</v>
      </c>
      <c r="L21">
        <v>0</v>
      </c>
    </row>
    <row r="22" spans="2:12">
      <c r="B22" s="9"/>
      <c r="C22" s="9"/>
      <c r="D22" s="9" t="s">
        <v>191</v>
      </c>
      <c r="E22" s="9">
        <f>16+4+1+2+1+1</f>
        <v>25</v>
      </c>
      <c r="F22" s="10">
        <f t="shared" si="5"/>
        <v>2023716.8499999999</v>
      </c>
      <c r="G22" s="10">
        <f t="shared" si="6"/>
        <v>80948.673999999999</v>
      </c>
      <c r="H22" s="10">
        <f>3055873+831932+255000+529260+280000+517440</f>
        <v>5469505</v>
      </c>
      <c r="I22" s="10">
        <f t="shared" si="7"/>
        <v>218780.2</v>
      </c>
      <c r="J22" s="8">
        <f t="shared" si="1"/>
        <v>92</v>
      </c>
      <c r="K22" s="8">
        <f t="shared" si="2"/>
        <v>8</v>
      </c>
      <c r="L22">
        <v>2</v>
      </c>
    </row>
    <row r="23" spans="2:12">
      <c r="B23" s="9"/>
      <c r="C23" s="12" t="s">
        <v>186</v>
      </c>
      <c r="D23" s="12" t="s">
        <v>47</v>
      </c>
      <c r="E23" s="13">
        <f>SUM(E13:E22)</f>
        <v>3554</v>
      </c>
      <c r="F23" s="14">
        <f>SUM(F13:F22)</f>
        <v>125601694.43000001</v>
      </c>
      <c r="G23" s="10">
        <f t="shared" si="6"/>
        <v>35340.938218908275</v>
      </c>
      <c r="H23" s="14">
        <f>SUM(H13:H22)</f>
        <v>339464039</v>
      </c>
      <c r="I23" s="10">
        <f t="shared" si="7"/>
        <v>95516.049240292632</v>
      </c>
      <c r="J23" s="8"/>
      <c r="K23" s="8"/>
      <c r="L23" s="16">
        <f>SUM(L13:L22)</f>
        <v>27</v>
      </c>
    </row>
    <row r="24" spans="2:12">
      <c r="B24" s="9" t="s">
        <v>183</v>
      </c>
      <c r="C24" s="9" t="s">
        <v>188</v>
      </c>
      <c r="D24" s="9" t="s">
        <v>195</v>
      </c>
      <c r="E24" s="9">
        <v>773</v>
      </c>
      <c r="F24" s="10">
        <f t="shared" ref="F24:F30" si="8">H24*37%</f>
        <v>16309524.52</v>
      </c>
      <c r="G24" s="10">
        <f t="shared" ref="G24:G29" si="9">IFERROR(F24/E24,0)</f>
        <v>21098.996791720569</v>
      </c>
      <c r="H24" s="10">
        <v>44079796</v>
      </c>
      <c r="I24" s="10">
        <f t="shared" ref="I24:I30" si="10">IFERROR(H24/E24,0)</f>
        <v>57024.315653298836</v>
      </c>
      <c r="J24" s="8">
        <f t="shared" ref="J24:J30" si="11">IFERROR(100-K24,0)</f>
        <v>99.223803363518755</v>
      </c>
      <c r="K24" s="8">
        <f t="shared" ref="K24:K30" si="12">IFERROR(L24/E24%,0)</f>
        <v>0.77619663648124182</v>
      </c>
      <c r="L24">
        <v>6</v>
      </c>
    </row>
    <row r="25" spans="2:12">
      <c r="B25" s="9"/>
      <c r="C25" s="9"/>
      <c r="D25" s="9" t="s">
        <v>12</v>
      </c>
      <c r="E25" s="9">
        <v>568</v>
      </c>
      <c r="F25" s="10">
        <f t="shared" si="8"/>
        <v>13858788.449999999</v>
      </c>
      <c r="G25" s="10">
        <f t="shared" si="9"/>
        <v>24399.275440140842</v>
      </c>
      <c r="H25" s="10">
        <v>37456185</v>
      </c>
      <c r="I25" s="10">
        <f t="shared" si="10"/>
        <v>65943.987676056335</v>
      </c>
      <c r="J25" s="8">
        <f t="shared" si="11"/>
        <v>99.295774647887328</v>
      </c>
      <c r="K25" s="8">
        <f t="shared" si="12"/>
        <v>0.70422535211267612</v>
      </c>
      <c r="L25">
        <v>4</v>
      </c>
    </row>
    <row r="26" spans="2:12">
      <c r="B26" s="9"/>
      <c r="C26" s="9"/>
      <c r="D26" s="9" t="s">
        <v>29</v>
      </c>
      <c r="E26" s="9">
        <v>305</v>
      </c>
      <c r="F26" s="10">
        <f t="shared" si="8"/>
        <v>8254589</v>
      </c>
      <c r="G26" s="10">
        <f t="shared" si="9"/>
        <v>27064.226229508196</v>
      </c>
      <c r="H26" s="10">
        <v>22309700</v>
      </c>
      <c r="I26" s="10">
        <f t="shared" si="10"/>
        <v>73146.557377049176</v>
      </c>
      <c r="J26" s="8">
        <f t="shared" si="11"/>
        <v>99.344262295081961</v>
      </c>
      <c r="K26" s="8">
        <f t="shared" si="12"/>
        <v>0.65573770491803285</v>
      </c>
      <c r="L26">
        <v>2</v>
      </c>
    </row>
    <row r="27" spans="2:12">
      <c r="B27" s="9"/>
      <c r="C27" s="9"/>
      <c r="D27" s="9" t="s">
        <v>28</v>
      </c>
      <c r="E27" s="9">
        <v>564</v>
      </c>
      <c r="F27" s="10">
        <f t="shared" si="8"/>
        <v>18257561.199999999</v>
      </c>
      <c r="G27" s="10">
        <f t="shared" si="9"/>
        <v>32371.562411347517</v>
      </c>
      <c r="H27" s="10">
        <v>49344760</v>
      </c>
      <c r="I27" s="10">
        <f t="shared" si="10"/>
        <v>87490.709219858152</v>
      </c>
      <c r="J27" s="8">
        <f t="shared" si="11"/>
        <v>98.936170212765958</v>
      </c>
      <c r="K27" s="8">
        <f t="shared" si="12"/>
        <v>1.0638297872340425</v>
      </c>
      <c r="L27">
        <v>6</v>
      </c>
    </row>
    <row r="28" spans="2:12">
      <c r="B28" s="9"/>
      <c r="C28" s="9"/>
      <c r="D28" s="9" t="s">
        <v>27</v>
      </c>
      <c r="E28" s="9">
        <v>995</v>
      </c>
      <c r="F28" s="10">
        <f t="shared" si="8"/>
        <v>35565781.210000001</v>
      </c>
      <c r="G28" s="10">
        <f t="shared" si="9"/>
        <v>35744.50372864322</v>
      </c>
      <c r="H28" s="10">
        <v>96123733</v>
      </c>
      <c r="I28" s="10">
        <f t="shared" si="10"/>
        <v>96606.766834170849</v>
      </c>
      <c r="J28" s="8">
        <f t="shared" si="11"/>
        <v>99.597989949748737</v>
      </c>
      <c r="K28" s="8">
        <f t="shared" si="12"/>
        <v>0.4020100502512563</v>
      </c>
      <c r="L28">
        <v>4</v>
      </c>
    </row>
    <row r="29" spans="2:12">
      <c r="B29" s="9"/>
      <c r="C29" s="9"/>
      <c r="D29" s="9" t="s">
        <v>16</v>
      </c>
      <c r="E29" s="9">
        <v>813</v>
      </c>
      <c r="F29" s="10">
        <f t="shared" si="8"/>
        <v>31015333.620000001</v>
      </c>
      <c r="G29" s="10">
        <f t="shared" si="9"/>
        <v>38149.241845018449</v>
      </c>
      <c r="H29" s="10">
        <v>83825226</v>
      </c>
      <c r="I29" s="10">
        <f t="shared" si="10"/>
        <v>103106.05904059041</v>
      </c>
      <c r="J29" s="8">
        <f t="shared" si="11"/>
        <v>99.630996309963095</v>
      </c>
      <c r="K29" s="8">
        <f t="shared" si="12"/>
        <v>0.36900369003690031</v>
      </c>
      <c r="L29">
        <v>3</v>
      </c>
    </row>
    <row r="30" spans="2:12">
      <c r="B30" s="9"/>
      <c r="C30" s="9"/>
      <c r="D30" s="9" t="s">
        <v>187</v>
      </c>
      <c r="E30" s="9">
        <f>24+33</f>
        <v>57</v>
      </c>
      <c r="F30" s="10">
        <f t="shared" si="8"/>
        <v>2940395.92</v>
      </c>
      <c r="G30" s="10">
        <f>IFERROR(F30/E30,0)</f>
        <v>51585.893333333333</v>
      </c>
      <c r="H30" s="10">
        <f>3102000+4845016</f>
        <v>7947016</v>
      </c>
      <c r="I30" s="10">
        <f t="shared" si="10"/>
        <v>139421.33333333334</v>
      </c>
      <c r="J30" s="8">
        <f t="shared" si="11"/>
        <v>96.491228070175438</v>
      </c>
      <c r="K30" s="8">
        <f t="shared" si="12"/>
        <v>3.5087719298245617</v>
      </c>
      <c r="L30">
        <f>1+1</f>
        <v>2</v>
      </c>
    </row>
    <row r="31" spans="2:12">
      <c r="B31" s="9"/>
      <c r="C31" s="12" t="s">
        <v>183</v>
      </c>
      <c r="D31" s="12" t="s">
        <v>47</v>
      </c>
      <c r="E31" s="13">
        <f>SUM(E24:E30)</f>
        <v>4075</v>
      </c>
      <c r="F31" s="14">
        <f>SUM(F24:F30)</f>
        <v>126201973.92</v>
      </c>
      <c r="G31" s="10">
        <f t="shared" si="6"/>
        <v>30969.809550920247</v>
      </c>
      <c r="H31" s="14">
        <f>SUM(H24:H30)</f>
        <v>341086416</v>
      </c>
      <c r="I31" s="10">
        <f t="shared" si="7"/>
        <v>83702.187975460125</v>
      </c>
      <c r="J31" s="8"/>
      <c r="K31" s="8"/>
      <c r="L31" s="16">
        <f>SUM(L24:L30)</f>
        <v>27</v>
      </c>
    </row>
    <row r="32" spans="2:12">
      <c r="B32" s="9" t="s">
        <v>184</v>
      </c>
      <c r="C32" s="9" t="s">
        <v>10</v>
      </c>
      <c r="D32" s="9" t="s">
        <v>11</v>
      </c>
      <c r="E32" s="9">
        <v>11</v>
      </c>
      <c r="F32" s="10">
        <f t="shared" ref="F32:F39" si="13">H32*37%</f>
        <v>131749.97</v>
      </c>
      <c r="G32" s="10">
        <f t="shared" si="6"/>
        <v>11977.27</v>
      </c>
      <c r="H32" s="10">
        <v>356081</v>
      </c>
      <c r="I32" s="10">
        <f t="shared" ref="I32:I40" si="14">IFERROR(H32/E32,0)</f>
        <v>32371</v>
      </c>
      <c r="J32" s="8">
        <f t="shared" si="1"/>
        <v>100</v>
      </c>
      <c r="K32" s="8">
        <f t="shared" si="2"/>
        <v>0</v>
      </c>
      <c r="L32">
        <v>0</v>
      </c>
    </row>
    <row r="33" spans="2:12">
      <c r="B33" s="9"/>
      <c r="C33" s="9"/>
      <c r="D33" s="9" t="s">
        <v>30</v>
      </c>
      <c r="E33" s="9">
        <v>96</v>
      </c>
      <c r="F33" s="10">
        <f t="shared" si="13"/>
        <v>1954830.99</v>
      </c>
      <c r="G33" s="10">
        <f t="shared" si="6"/>
        <v>20362.822812499999</v>
      </c>
      <c r="H33" s="10">
        <v>5283327</v>
      </c>
      <c r="I33" s="10">
        <f t="shared" si="14"/>
        <v>55034.65625</v>
      </c>
      <c r="J33" s="8">
        <f t="shared" si="1"/>
        <v>98.958333333333329</v>
      </c>
      <c r="K33" s="8">
        <f t="shared" si="2"/>
        <v>1.0416666666666667</v>
      </c>
      <c r="L33">
        <v>1</v>
      </c>
    </row>
    <row r="34" spans="2:12">
      <c r="B34" s="9"/>
      <c r="C34" s="9"/>
      <c r="D34" s="9" t="s">
        <v>12</v>
      </c>
      <c r="E34" s="9">
        <v>332</v>
      </c>
      <c r="F34" s="10">
        <f t="shared" si="13"/>
        <v>7812279.1600000001</v>
      </c>
      <c r="G34" s="10">
        <f t="shared" si="6"/>
        <v>23530.961325301207</v>
      </c>
      <c r="H34" s="10">
        <v>21114268</v>
      </c>
      <c r="I34" s="10">
        <f t="shared" si="14"/>
        <v>63597.192771084337</v>
      </c>
      <c r="J34" s="8">
        <f t="shared" si="1"/>
        <v>99.397590361445779</v>
      </c>
      <c r="K34" s="8">
        <f t="shared" si="2"/>
        <v>0.60240963855421692</v>
      </c>
      <c r="L34">
        <v>2</v>
      </c>
    </row>
    <row r="35" spans="2:12">
      <c r="B35" s="9"/>
      <c r="C35" s="9"/>
      <c r="D35" s="9" t="s">
        <v>29</v>
      </c>
      <c r="E35" s="9">
        <v>396</v>
      </c>
      <c r="F35" s="10">
        <f t="shared" si="13"/>
        <v>10800120.18</v>
      </c>
      <c r="G35" s="10">
        <f t="shared" si="6"/>
        <v>27273.030757575758</v>
      </c>
      <c r="H35" s="10">
        <v>29189514</v>
      </c>
      <c r="I35" s="10">
        <f t="shared" si="14"/>
        <v>73710.893939393936</v>
      </c>
      <c r="J35" s="8">
        <f t="shared" si="1"/>
        <v>99.242424242424249</v>
      </c>
      <c r="K35" s="8">
        <f t="shared" si="2"/>
        <v>0.75757575757575757</v>
      </c>
      <c r="L35">
        <v>3</v>
      </c>
    </row>
    <row r="36" spans="2:12">
      <c r="B36" s="9"/>
      <c r="C36" s="9"/>
      <c r="D36" s="9" t="s">
        <v>28</v>
      </c>
      <c r="E36" s="9">
        <v>1162</v>
      </c>
      <c r="F36" s="10">
        <f t="shared" si="13"/>
        <v>36672165.200000003</v>
      </c>
      <c r="G36" s="10">
        <f t="shared" si="6"/>
        <v>31559.522547332188</v>
      </c>
      <c r="H36" s="10">
        <v>99113960</v>
      </c>
      <c r="I36" s="10">
        <f t="shared" si="14"/>
        <v>85296.006884681585</v>
      </c>
      <c r="J36" s="8">
        <f t="shared" si="1"/>
        <v>99.397590361445779</v>
      </c>
      <c r="K36" s="8">
        <f t="shared" si="2"/>
        <v>0.60240963855421692</v>
      </c>
      <c r="L36">
        <v>7</v>
      </c>
    </row>
    <row r="37" spans="2:12">
      <c r="B37" s="9"/>
      <c r="C37" s="9"/>
      <c r="D37" s="9" t="s">
        <v>27</v>
      </c>
      <c r="E37" s="9">
        <v>611</v>
      </c>
      <c r="F37" s="10">
        <f t="shared" si="13"/>
        <v>21426443.219999999</v>
      </c>
      <c r="G37" s="10">
        <f t="shared" si="6"/>
        <v>35067.828510638297</v>
      </c>
      <c r="H37" s="10">
        <v>57909306</v>
      </c>
      <c r="I37" s="10">
        <f t="shared" si="14"/>
        <v>94777.914893617024</v>
      </c>
      <c r="J37" s="8">
        <f t="shared" si="1"/>
        <v>99.181669394435346</v>
      </c>
      <c r="K37" s="8">
        <f t="shared" si="2"/>
        <v>0.81833060556464809</v>
      </c>
      <c r="L37">
        <v>5</v>
      </c>
    </row>
    <row r="38" spans="2:12">
      <c r="B38" s="9"/>
      <c r="C38" s="9" t="s">
        <v>13</v>
      </c>
      <c r="D38" s="9" t="s">
        <v>16</v>
      </c>
      <c r="E38" s="9">
        <v>846</v>
      </c>
      <c r="F38" s="10">
        <f t="shared" si="13"/>
        <v>34324648.399999999</v>
      </c>
      <c r="G38" s="10">
        <f t="shared" si="6"/>
        <v>40572.870449172573</v>
      </c>
      <c r="H38" s="10">
        <v>92769320</v>
      </c>
      <c r="I38" s="10">
        <f t="shared" si="14"/>
        <v>109656.40661938534</v>
      </c>
      <c r="J38" s="8">
        <f t="shared" si="1"/>
        <v>99.645390070921991</v>
      </c>
      <c r="K38" s="8">
        <f t="shared" si="2"/>
        <v>0.35460992907801414</v>
      </c>
      <c r="L38">
        <v>3</v>
      </c>
    </row>
    <row r="39" spans="2:12">
      <c r="B39" s="9"/>
      <c r="C39" s="9"/>
      <c r="D39" s="9" t="s">
        <v>192</v>
      </c>
      <c r="E39" s="9">
        <f>58+10+5</f>
        <v>73</v>
      </c>
      <c r="F39" s="10">
        <f t="shared" si="13"/>
        <v>3636628.9899999998</v>
      </c>
      <c r="G39" s="10">
        <f t="shared" si="6"/>
        <v>49816.835479452049</v>
      </c>
      <c r="H39" s="10">
        <f>7510007+1499000+819720</f>
        <v>9828727</v>
      </c>
      <c r="I39" s="10">
        <f t="shared" si="14"/>
        <v>134640.09589041097</v>
      </c>
      <c r="J39" s="8">
        <f t="shared" si="1"/>
        <v>98.630136986301366</v>
      </c>
      <c r="K39" s="8">
        <f t="shared" si="2"/>
        <v>1.3698630136986301</v>
      </c>
      <c r="L39">
        <v>1</v>
      </c>
    </row>
    <row r="40" spans="2:12" s="16" customFormat="1">
      <c r="B40" s="13"/>
      <c r="C40" s="12" t="s">
        <v>184</v>
      </c>
      <c r="D40" s="12" t="s">
        <v>47</v>
      </c>
      <c r="E40" s="13">
        <f>SUM(E32:E39)</f>
        <v>3527</v>
      </c>
      <c r="F40" s="14">
        <f>SUM(F32:F39)</f>
        <v>116758866.11</v>
      </c>
      <c r="G40" s="10">
        <f t="shared" si="6"/>
        <v>33104.300002835269</v>
      </c>
      <c r="H40" s="14">
        <f>SUM(H32:H39)</f>
        <v>315564503</v>
      </c>
      <c r="I40" s="10">
        <f t="shared" si="14"/>
        <v>89471.081088743973</v>
      </c>
      <c r="J40" s="15"/>
      <c r="K40" s="15"/>
      <c r="L40" s="16">
        <f>SUM(L32:L39)</f>
        <v>22</v>
      </c>
    </row>
    <row r="41" spans="2:12" hidden="1">
      <c r="B41" s="9"/>
      <c r="C41" s="9"/>
      <c r="D41" s="9" t="s">
        <v>21</v>
      </c>
      <c r="E41" s="9"/>
      <c r="F41" s="10">
        <f t="shared" ref="F41:F46" si="15">H41*37%</f>
        <v>0</v>
      </c>
      <c r="G41" s="10">
        <f t="shared" ref="G41:G46" si="16">IFERROR(F41/E41,0)</f>
        <v>0</v>
      </c>
      <c r="H41" s="10"/>
      <c r="I41" s="10">
        <f t="shared" ref="I41:I46" si="17">IFERROR(H41/E41,0)</f>
        <v>0</v>
      </c>
      <c r="J41" s="8">
        <f t="shared" ref="J41:J46" si="18">IFERROR(100-K41,0)</f>
        <v>100</v>
      </c>
      <c r="K41" s="8">
        <f t="shared" ref="K41:K46" si="19">IFERROR(L41/E41%,0)</f>
        <v>0</v>
      </c>
    </row>
    <row r="42" spans="2:12" hidden="1">
      <c r="B42" s="9"/>
      <c r="C42" s="9"/>
      <c r="D42" s="9" t="s">
        <v>25</v>
      </c>
      <c r="E42" s="9"/>
      <c r="F42" s="10">
        <f t="shared" si="15"/>
        <v>0</v>
      </c>
      <c r="G42" s="10">
        <f t="shared" si="16"/>
        <v>0</v>
      </c>
      <c r="H42" s="10"/>
      <c r="I42" s="10">
        <f t="shared" si="17"/>
        <v>0</v>
      </c>
      <c r="J42" s="8">
        <f t="shared" si="18"/>
        <v>100</v>
      </c>
      <c r="K42" s="8">
        <f t="shared" si="19"/>
        <v>0</v>
      </c>
    </row>
    <row r="43" spans="2:12" hidden="1">
      <c r="B43" s="9"/>
      <c r="C43" s="9"/>
      <c r="D43" s="9" t="s">
        <v>26</v>
      </c>
      <c r="E43" s="9"/>
      <c r="F43" s="10">
        <f t="shared" si="15"/>
        <v>0</v>
      </c>
      <c r="G43" s="10">
        <f t="shared" si="16"/>
        <v>0</v>
      </c>
      <c r="H43" s="10"/>
      <c r="I43" s="10">
        <f t="shared" si="17"/>
        <v>0</v>
      </c>
      <c r="J43" s="8">
        <f t="shared" si="18"/>
        <v>100</v>
      </c>
      <c r="K43" s="8">
        <f t="shared" si="19"/>
        <v>0</v>
      </c>
    </row>
    <row r="44" spans="2:12" hidden="1">
      <c r="B44" s="9"/>
      <c r="C44" s="9"/>
      <c r="D44" s="9" t="s">
        <v>45</v>
      </c>
      <c r="E44" s="9"/>
      <c r="F44" s="10">
        <f t="shared" si="15"/>
        <v>0</v>
      </c>
      <c r="G44" s="10">
        <f t="shared" si="16"/>
        <v>0</v>
      </c>
      <c r="H44" s="10"/>
      <c r="I44" s="10">
        <f t="shared" si="17"/>
        <v>0</v>
      </c>
      <c r="J44" s="8">
        <f t="shared" si="18"/>
        <v>100</v>
      </c>
      <c r="K44" s="8">
        <f t="shared" si="19"/>
        <v>0</v>
      </c>
    </row>
    <row r="45" spans="2:12" hidden="1">
      <c r="B45" s="9"/>
      <c r="C45" s="9"/>
      <c r="D45" s="9" t="s">
        <v>31</v>
      </c>
      <c r="E45" s="9"/>
      <c r="F45" s="10">
        <f t="shared" si="15"/>
        <v>0</v>
      </c>
      <c r="G45" s="10">
        <f t="shared" si="16"/>
        <v>0</v>
      </c>
      <c r="H45" s="10"/>
      <c r="I45" s="10">
        <f t="shared" si="17"/>
        <v>0</v>
      </c>
      <c r="J45" s="8">
        <f t="shared" si="18"/>
        <v>100</v>
      </c>
      <c r="K45" s="8">
        <f t="shared" si="19"/>
        <v>0</v>
      </c>
    </row>
    <row r="46" spans="2:12" hidden="1">
      <c r="B46" s="9"/>
      <c r="C46" s="9" t="s">
        <v>32</v>
      </c>
      <c r="D46" s="9" t="s">
        <v>33</v>
      </c>
      <c r="E46" s="9"/>
      <c r="F46" s="10">
        <f t="shared" si="15"/>
        <v>0</v>
      </c>
      <c r="G46" s="10">
        <f t="shared" si="16"/>
        <v>0</v>
      </c>
      <c r="H46" s="10"/>
      <c r="I46" s="10">
        <f t="shared" si="17"/>
        <v>0</v>
      </c>
      <c r="J46" s="8">
        <f t="shared" si="18"/>
        <v>100</v>
      </c>
      <c r="K46" s="8">
        <f t="shared" si="19"/>
        <v>0</v>
      </c>
    </row>
    <row r="47" spans="2:12" s="16" customFormat="1" hidden="1">
      <c r="B47" s="13"/>
      <c r="C47" s="12" t="s">
        <v>46</v>
      </c>
      <c r="D47" s="12" t="s">
        <v>47</v>
      </c>
      <c r="E47" s="13">
        <f>SUM(E41:E46)</f>
        <v>0</v>
      </c>
      <c r="F47" s="14">
        <f>SUM(F41:F46)</f>
        <v>0</v>
      </c>
      <c r="G47" s="14"/>
      <c r="H47" s="14">
        <f>SUM(H41:H46)</f>
        <v>0</v>
      </c>
      <c r="I47" s="14"/>
      <c r="J47" s="15"/>
      <c r="K47" s="15"/>
    </row>
    <row r="48" spans="2:12" hidden="1">
      <c r="B48" s="9"/>
      <c r="C48" s="9"/>
      <c r="D48" s="9"/>
      <c r="E48" s="11"/>
      <c r="F48" s="10"/>
      <c r="G48" s="10"/>
      <c r="H48" s="10"/>
      <c r="I48" s="10"/>
      <c r="J48" s="9"/>
      <c r="K48" s="9"/>
      <c r="L48" s="7">
        <f>SUM(L6:L46)</f>
        <v>180</v>
      </c>
    </row>
    <row r="49" spans="2:12">
      <c r="L49">
        <f>L40+L31+L23+L12</f>
        <v>90</v>
      </c>
    </row>
    <row r="50" spans="2:12">
      <c r="B50" t="s">
        <v>196</v>
      </c>
    </row>
    <row r="51" spans="2:12">
      <c r="B51" t="s">
        <v>197</v>
      </c>
    </row>
    <row r="53" spans="2:12">
      <c r="B53" t="s">
        <v>198</v>
      </c>
    </row>
    <row r="54" spans="2:12">
      <c r="B54" t="s">
        <v>199</v>
      </c>
    </row>
  </sheetData>
  <sheetProtection sheet="1" objects="1" scenarios="1"/>
  <mergeCells count="5">
    <mergeCell ref="E3:I3"/>
    <mergeCell ref="J3:K3"/>
    <mergeCell ref="F4:G4"/>
    <mergeCell ref="H4:I4"/>
    <mergeCell ref="B13:B18"/>
  </mergeCells>
  <pageMargins left="0.19685039370078741" right="0.11811023622047245" top="0.19685039370078741" bottom="0.19685039370078741" header="0.11811023622047245" footer="0.11811023622047245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activeCell="F6" sqref="F6"/>
    </sheetView>
  </sheetViews>
  <sheetFormatPr defaultRowHeight="15"/>
  <cols>
    <col min="2" max="2" width="28.85546875" customWidth="1"/>
    <col min="3" max="3" width="9.140625" style="7"/>
    <col min="4" max="4" width="21" style="5" customWidth="1"/>
  </cols>
  <sheetData>
    <row r="1" spans="1:4">
      <c r="A1" s="18" t="s">
        <v>48</v>
      </c>
    </row>
    <row r="2" spans="1:4">
      <c r="A2" s="18"/>
    </row>
    <row r="3" spans="1:4">
      <c r="A3" s="18"/>
    </row>
    <row r="4" spans="1:4">
      <c r="A4" s="18"/>
      <c r="B4" s="9"/>
      <c r="C4" s="63" t="s">
        <v>50</v>
      </c>
      <c r="D4" s="64" t="s">
        <v>178</v>
      </c>
    </row>
    <row r="5" spans="1:4">
      <c r="A5" s="18"/>
      <c r="B5" s="11" t="s">
        <v>206</v>
      </c>
      <c r="C5" s="17">
        <v>14131</v>
      </c>
      <c r="D5" s="14">
        <v>1261379418</v>
      </c>
    </row>
    <row r="7" spans="1:4">
      <c r="B7" s="62" t="s">
        <v>49</v>
      </c>
      <c r="C7" s="63" t="s">
        <v>50</v>
      </c>
      <c r="D7" s="64" t="s">
        <v>6</v>
      </c>
    </row>
    <row r="8" spans="1:4">
      <c r="B8" s="9" t="s">
        <v>182</v>
      </c>
      <c r="C8" s="11">
        <f>'Summary by Band-Post code !!!'!$E$12</f>
        <v>2975</v>
      </c>
      <c r="D8" s="10">
        <f>'Summary by Band-Post code !!!'!$H$12</f>
        <v>265264460</v>
      </c>
    </row>
    <row r="9" spans="1:4">
      <c r="B9" s="9" t="s">
        <v>189</v>
      </c>
      <c r="C9" s="11">
        <f>'Summary by Band-Post code !!!'!$E$23</f>
        <v>3554</v>
      </c>
      <c r="D9" s="10">
        <f>'Summary by Band-Post code !!!'!$H$23</f>
        <v>339464039</v>
      </c>
    </row>
    <row r="10" spans="1:4">
      <c r="B10" s="9" t="s">
        <v>183</v>
      </c>
      <c r="C10" s="11">
        <f>'Summary by Band-Post code !!!'!$E$31</f>
        <v>4075</v>
      </c>
      <c r="D10" s="10">
        <f>'Summary by Band-Post code !!!'!$H$31</f>
        <v>341086416</v>
      </c>
    </row>
    <row r="11" spans="1:4">
      <c r="B11" s="9" t="s">
        <v>184</v>
      </c>
      <c r="C11" s="11">
        <f>'Summary by Band-Post code !!!'!$E$40</f>
        <v>3527</v>
      </c>
      <c r="D11" s="10">
        <f>'Summary by Band-Post code !!!'!$H$40</f>
        <v>315564503</v>
      </c>
    </row>
    <row r="12" spans="1:4" s="16" customFormat="1">
      <c r="B12" s="12" t="s">
        <v>190</v>
      </c>
      <c r="C12" s="17">
        <f>SUM(C8:C11)</f>
        <v>14131</v>
      </c>
      <c r="D12" s="14">
        <f>SUM(D8:D11)</f>
        <v>1261379418</v>
      </c>
    </row>
    <row r="13" spans="1:4">
      <c r="B13" s="61" t="s">
        <v>51</v>
      </c>
      <c r="C13" s="11">
        <v>812</v>
      </c>
      <c r="D13" s="10"/>
    </row>
    <row r="14" spans="1:4">
      <c r="B14" s="61" t="s">
        <v>161</v>
      </c>
      <c r="C14" s="11">
        <v>20</v>
      </c>
      <c r="D14" s="10"/>
    </row>
    <row r="15" spans="1:4">
      <c r="B15" s="9"/>
      <c r="C15" s="17">
        <f>SUM(C12:C14)</f>
        <v>14963</v>
      </c>
      <c r="D15" s="10"/>
    </row>
    <row r="17" spans="2:4">
      <c r="B17" t="s">
        <v>202</v>
      </c>
      <c r="C17" s="7">
        <v>14936</v>
      </c>
    </row>
    <row r="18" spans="2:4">
      <c r="B18" t="s">
        <v>203</v>
      </c>
      <c r="C18" s="7">
        <v>32</v>
      </c>
    </row>
    <row r="19" spans="2:4">
      <c r="B19" t="s">
        <v>160</v>
      </c>
      <c r="C19" s="7">
        <v>32</v>
      </c>
    </row>
    <row r="20" spans="2:4">
      <c r="B20" t="s">
        <v>161</v>
      </c>
      <c r="C20" s="7">
        <v>20</v>
      </c>
    </row>
    <row r="21" spans="2:4">
      <c r="C21" s="59">
        <f>SUM(C17:C20)</f>
        <v>15020</v>
      </c>
    </row>
    <row r="22" spans="2:4">
      <c r="B22" t="s">
        <v>201</v>
      </c>
      <c r="C22" s="59">
        <v>2</v>
      </c>
    </row>
    <row r="23" spans="2:4">
      <c r="B23" t="s">
        <v>204</v>
      </c>
      <c r="C23" s="69">
        <v>55</v>
      </c>
    </row>
    <row r="24" spans="2:4">
      <c r="C24" s="59">
        <f>C21-C22-C23</f>
        <v>14963</v>
      </c>
    </row>
    <row r="25" spans="2:4" ht="10.5" customHeight="1"/>
    <row r="26" spans="2:4">
      <c r="C26" s="7">
        <f>C24-C15</f>
        <v>0</v>
      </c>
      <c r="D26" s="5" t="s">
        <v>200</v>
      </c>
    </row>
    <row r="28" spans="2:4">
      <c r="D28" s="7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72"/>
  <sheetViews>
    <sheetView topLeftCell="A27" workbookViewId="0">
      <selection activeCell="E60" sqref="E60"/>
    </sheetView>
  </sheetViews>
  <sheetFormatPr defaultRowHeight="15"/>
  <cols>
    <col min="1" max="1" width="3.42578125" bestFit="1" customWidth="1"/>
    <col min="2" max="2" width="20" customWidth="1"/>
    <col min="3" max="3" width="14.28515625" customWidth="1"/>
    <col min="4" max="4" width="14.42578125" customWidth="1"/>
    <col min="6" max="6" width="13.28515625" customWidth="1"/>
    <col min="7" max="7" width="12.28515625" customWidth="1"/>
    <col min="10" max="10" width="13" customWidth="1"/>
    <col min="11" max="11" width="14.140625" customWidth="1"/>
    <col min="13" max="13" width="10.28515625" customWidth="1"/>
    <col min="14" max="14" width="13.85546875" bestFit="1" customWidth="1"/>
    <col min="15" max="15" width="11.28515625" customWidth="1"/>
    <col min="16" max="16" width="10.140625" customWidth="1"/>
    <col min="17" max="17" width="11.28515625" customWidth="1"/>
    <col min="18" max="18" width="10.140625" bestFit="1" customWidth="1"/>
    <col min="19" max="19" width="9.7109375" bestFit="1" customWidth="1"/>
    <col min="20" max="20" width="7.140625" bestFit="1" customWidth="1"/>
    <col min="22" max="22" width="12" bestFit="1" customWidth="1"/>
    <col min="24" max="24" width="9.7109375" bestFit="1" customWidth="1"/>
    <col min="25" max="25" width="9.42578125" bestFit="1" customWidth="1"/>
    <col min="27" max="27" width="9.7109375" bestFit="1" customWidth="1"/>
    <col min="28" max="28" width="14.5703125" bestFit="1" customWidth="1"/>
    <col min="31" max="31" width="11.28515625" bestFit="1" customWidth="1"/>
  </cols>
  <sheetData>
    <row r="1" spans="1:31">
      <c r="F1" s="22" t="s">
        <v>52</v>
      </c>
      <c r="G1" s="23">
        <v>41729</v>
      </c>
    </row>
    <row r="3" spans="1:31" ht="39">
      <c r="B3" s="9" t="s">
        <v>53</v>
      </c>
      <c r="C3" s="9" t="s">
        <v>49</v>
      </c>
      <c r="D3" s="9" t="s">
        <v>54</v>
      </c>
      <c r="E3" s="24" t="s">
        <v>55</v>
      </c>
      <c r="F3" s="25" t="s">
        <v>56</v>
      </c>
      <c r="G3" s="26" t="s">
        <v>57</v>
      </c>
      <c r="H3" s="25" t="s">
        <v>58</v>
      </c>
      <c r="I3" s="25" t="s">
        <v>59</v>
      </c>
      <c r="J3" s="26" t="s">
        <v>60</v>
      </c>
      <c r="K3" s="27" t="s">
        <v>61</v>
      </c>
      <c r="L3" s="25" t="s">
        <v>59</v>
      </c>
      <c r="M3" s="26" t="s">
        <v>57</v>
      </c>
      <c r="N3" s="28" t="s">
        <v>62</v>
      </c>
      <c r="O3" s="25" t="s">
        <v>63</v>
      </c>
      <c r="P3" s="28" t="s">
        <v>64</v>
      </c>
      <c r="Q3" s="25" t="s">
        <v>65</v>
      </c>
      <c r="R3" s="29" t="s">
        <v>66</v>
      </c>
      <c r="S3" s="26" t="s">
        <v>57</v>
      </c>
      <c r="T3" s="27" t="s">
        <v>67</v>
      </c>
      <c r="U3" s="26" t="s">
        <v>57</v>
      </c>
      <c r="V3" s="26" t="s">
        <v>68</v>
      </c>
      <c r="W3" s="26" t="s">
        <v>69</v>
      </c>
      <c r="X3" s="26" t="s">
        <v>70</v>
      </c>
      <c r="Y3" s="26" t="s">
        <v>71</v>
      </c>
      <c r="Z3" s="26" t="s">
        <v>69</v>
      </c>
      <c r="AA3" s="26" t="s">
        <v>70</v>
      </c>
      <c r="AB3" s="30" t="s">
        <v>72</v>
      </c>
      <c r="AC3" s="24"/>
      <c r="AD3" s="24"/>
      <c r="AE3" s="24"/>
    </row>
    <row r="4" spans="1:31">
      <c r="A4" s="31" t="s">
        <v>51</v>
      </c>
      <c r="E4" s="1"/>
      <c r="F4" s="32"/>
      <c r="G4" s="33"/>
      <c r="H4" s="1"/>
      <c r="I4" s="1"/>
      <c r="J4" s="33"/>
      <c r="K4" s="34"/>
      <c r="L4" s="34"/>
      <c r="M4" s="33"/>
      <c r="N4" s="33"/>
      <c r="O4" s="1"/>
      <c r="P4" s="35"/>
      <c r="Q4" s="1"/>
      <c r="R4" s="36"/>
      <c r="S4" s="33"/>
      <c r="T4" s="34"/>
      <c r="U4" s="33"/>
      <c r="V4" s="33"/>
      <c r="W4" s="33"/>
      <c r="X4" s="33"/>
      <c r="Y4" s="33"/>
      <c r="Z4" s="33"/>
      <c r="AA4" s="33"/>
      <c r="AB4" s="37"/>
    </row>
    <row r="5" spans="1:31">
      <c r="A5">
        <v>1</v>
      </c>
      <c r="B5" s="9" t="s">
        <v>113</v>
      </c>
      <c r="C5" s="9" t="s">
        <v>167</v>
      </c>
      <c r="D5" s="9" t="s">
        <v>114</v>
      </c>
      <c r="E5">
        <v>0</v>
      </c>
      <c r="F5" s="5">
        <f t="shared" ref="F5:F31" si="0">$L$37</f>
        <v>28500</v>
      </c>
      <c r="G5" s="38">
        <f t="shared" ref="G5:G31" si="1">SUM(E5*F5)</f>
        <v>0</v>
      </c>
      <c r="H5">
        <v>36</v>
      </c>
      <c r="I5" s="5">
        <f t="shared" ref="I5:I31" si="2">$L$38</f>
        <v>34500</v>
      </c>
      <c r="J5" s="39">
        <f t="shared" ref="J5:J31" si="3">SUM(H5*I5)</f>
        <v>1242000</v>
      </c>
      <c r="K5">
        <v>8</v>
      </c>
      <c r="L5" s="5">
        <f t="shared" ref="L5:L31" si="4">$L$39</f>
        <v>42500</v>
      </c>
      <c r="M5" s="38">
        <f t="shared" ref="M5:M22" si="5">SUM(K5*L5)</f>
        <v>340000</v>
      </c>
      <c r="N5" s="40">
        <f>$L$41</f>
        <v>17500</v>
      </c>
      <c r="O5" s="34" t="s">
        <v>86</v>
      </c>
      <c r="P5" s="41">
        <f>$L$48</f>
        <v>61500</v>
      </c>
      <c r="Q5" s="42"/>
      <c r="R5" s="43"/>
      <c r="S5" s="38">
        <f t="shared" ref="S5:S31" si="6">SUM(Q5*R5)</f>
        <v>0</v>
      </c>
      <c r="T5" s="42"/>
      <c r="U5" s="38"/>
      <c r="V5" s="38"/>
      <c r="W5" s="38"/>
      <c r="X5" s="38"/>
      <c r="Y5" s="38"/>
      <c r="Z5" s="38"/>
      <c r="AA5" s="38"/>
      <c r="AB5" s="44">
        <f t="shared" ref="AB5:AB31" si="7">SUM(G5+J5+M5+N5+P5+S5+U5)</f>
        <v>1661000</v>
      </c>
    </row>
    <row r="6" spans="1:31">
      <c r="A6">
        <v>2</v>
      </c>
      <c r="B6" s="9" t="s">
        <v>101</v>
      </c>
      <c r="C6" s="9" t="s">
        <v>155</v>
      </c>
      <c r="D6" s="9" t="s">
        <v>102</v>
      </c>
      <c r="E6">
        <v>0</v>
      </c>
      <c r="F6" s="5">
        <f t="shared" si="0"/>
        <v>28500</v>
      </c>
      <c r="G6" s="38">
        <f t="shared" si="1"/>
        <v>0</v>
      </c>
      <c r="H6">
        <v>37</v>
      </c>
      <c r="I6" s="5">
        <f t="shared" si="2"/>
        <v>34500</v>
      </c>
      <c r="J6" s="39">
        <f t="shared" si="3"/>
        <v>1276500</v>
      </c>
      <c r="K6">
        <v>0</v>
      </c>
      <c r="L6" s="5">
        <f t="shared" si="4"/>
        <v>42500</v>
      </c>
      <c r="M6" s="38">
        <f t="shared" si="5"/>
        <v>0</v>
      </c>
      <c r="N6" s="38">
        <v>0</v>
      </c>
      <c r="O6" s="34" t="s">
        <v>86</v>
      </c>
      <c r="P6" s="41">
        <f>$L$48</f>
        <v>61500</v>
      </c>
      <c r="Q6" s="46">
        <v>0</v>
      </c>
      <c r="R6" s="47">
        <f>$L$46</f>
        <v>66000</v>
      </c>
      <c r="S6" s="38">
        <f t="shared" si="6"/>
        <v>0</v>
      </c>
      <c r="T6" s="42"/>
      <c r="U6" s="38"/>
      <c r="V6" s="38"/>
      <c r="W6" s="38"/>
      <c r="X6" s="38"/>
      <c r="Y6" s="38"/>
      <c r="Z6" s="38"/>
      <c r="AA6" s="38"/>
      <c r="AB6" s="44">
        <f t="shared" si="7"/>
        <v>1338000</v>
      </c>
    </row>
    <row r="7" spans="1:31">
      <c r="A7">
        <v>3</v>
      </c>
      <c r="B7" s="9" t="s">
        <v>87</v>
      </c>
      <c r="C7" s="9" t="s">
        <v>173</v>
      </c>
      <c r="D7" s="9" t="s">
        <v>88</v>
      </c>
      <c r="E7">
        <v>0</v>
      </c>
      <c r="F7" s="5">
        <f t="shared" si="0"/>
        <v>28500</v>
      </c>
      <c r="G7" s="38">
        <f t="shared" si="1"/>
        <v>0</v>
      </c>
      <c r="H7">
        <v>27</v>
      </c>
      <c r="I7" s="5">
        <f t="shared" si="2"/>
        <v>34500</v>
      </c>
      <c r="J7" s="39">
        <f t="shared" si="3"/>
        <v>931500</v>
      </c>
      <c r="K7">
        <v>0</v>
      </c>
      <c r="L7" s="5">
        <f t="shared" si="4"/>
        <v>42500</v>
      </c>
      <c r="M7" s="38">
        <f t="shared" si="5"/>
        <v>0</v>
      </c>
      <c r="N7" s="40">
        <f>$L$41</f>
        <v>17500</v>
      </c>
      <c r="O7" s="34" t="s">
        <v>86</v>
      </c>
      <c r="P7" s="41">
        <f>$L$48</f>
        <v>61500</v>
      </c>
      <c r="Q7" s="42"/>
      <c r="R7" s="43"/>
      <c r="S7" s="38">
        <f t="shared" si="6"/>
        <v>0</v>
      </c>
      <c r="T7" s="42"/>
      <c r="U7" s="41">
        <v>0</v>
      </c>
      <c r="V7" s="41"/>
      <c r="W7" s="41"/>
      <c r="X7" s="41"/>
      <c r="Y7" s="41"/>
      <c r="Z7" s="41"/>
      <c r="AA7" s="41"/>
      <c r="AB7" s="44">
        <f t="shared" si="7"/>
        <v>1010500</v>
      </c>
    </row>
    <row r="8" spans="1:31">
      <c r="A8">
        <v>4</v>
      </c>
      <c r="B8" s="9" t="s">
        <v>156</v>
      </c>
      <c r="C8" s="9" t="s">
        <v>171</v>
      </c>
      <c r="D8" s="9" t="s">
        <v>100</v>
      </c>
      <c r="E8">
        <v>4</v>
      </c>
      <c r="F8" s="5">
        <f t="shared" si="0"/>
        <v>28500</v>
      </c>
      <c r="G8" s="38">
        <f t="shared" si="1"/>
        <v>114000</v>
      </c>
      <c r="H8">
        <v>28</v>
      </c>
      <c r="I8" s="5">
        <f t="shared" si="2"/>
        <v>34500</v>
      </c>
      <c r="J8" s="39">
        <f t="shared" si="3"/>
        <v>966000</v>
      </c>
      <c r="K8">
        <v>0</v>
      </c>
      <c r="L8" s="5">
        <f t="shared" si="4"/>
        <v>42500</v>
      </c>
      <c r="M8" s="38">
        <f t="shared" si="5"/>
        <v>0</v>
      </c>
      <c r="N8" s="40">
        <f>$L$41</f>
        <v>17500</v>
      </c>
      <c r="O8" s="34" t="s">
        <v>86</v>
      </c>
      <c r="P8" s="41">
        <f>$L$48</f>
        <v>61500</v>
      </c>
      <c r="Q8" s="42"/>
      <c r="R8" s="43"/>
      <c r="S8" s="38">
        <f t="shared" si="6"/>
        <v>0</v>
      </c>
      <c r="T8" s="42"/>
      <c r="U8" s="38"/>
      <c r="V8" s="38"/>
      <c r="W8" s="38"/>
      <c r="X8" s="38"/>
      <c r="Y8" s="38"/>
      <c r="Z8" s="38"/>
      <c r="AA8" s="38"/>
      <c r="AB8" s="44">
        <f t="shared" si="7"/>
        <v>1159000</v>
      </c>
    </row>
    <row r="9" spans="1:31">
      <c r="A9">
        <v>6</v>
      </c>
      <c r="B9" s="9" t="s">
        <v>109</v>
      </c>
      <c r="C9" s="9" t="s">
        <v>152</v>
      </c>
      <c r="D9" s="9" t="s">
        <v>110</v>
      </c>
      <c r="E9">
        <v>14</v>
      </c>
      <c r="F9" s="5">
        <f t="shared" si="0"/>
        <v>28500</v>
      </c>
      <c r="G9" s="38">
        <f t="shared" si="1"/>
        <v>399000</v>
      </c>
      <c r="H9">
        <v>2</v>
      </c>
      <c r="I9" s="5">
        <f t="shared" si="2"/>
        <v>34500</v>
      </c>
      <c r="J9" s="39">
        <f t="shared" si="3"/>
        <v>69000</v>
      </c>
      <c r="K9">
        <v>0</v>
      </c>
      <c r="L9" s="5">
        <f t="shared" si="4"/>
        <v>42500</v>
      </c>
      <c r="M9" s="38">
        <f t="shared" si="5"/>
        <v>0</v>
      </c>
      <c r="N9" s="40">
        <f>$L$41</f>
        <v>17500</v>
      </c>
      <c r="P9" s="41">
        <f>$L$43</f>
        <v>48000</v>
      </c>
      <c r="Q9" s="42"/>
      <c r="R9" s="43"/>
      <c r="S9" s="38">
        <f t="shared" si="6"/>
        <v>0</v>
      </c>
      <c r="T9" s="42"/>
      <c r="U9" s="41">
        <v>0</v>
      </c>
      <c r="V9" s="41"/>
      <c r="W9" s="41"/>
      <c r="X9" s="41"/>
      <c r="Y9" s="41"/>
      <c r="Z9" s="41"/>
      <c r="AA9" s="41"/>
      <c r="AB9" s="44">
        <f t="shared" si="7"/>
        <v>533500</v>
      </c>
    </row>
    <row r="10" spans="1:31">
      <c r="A10">
        <v>9</v>
      </c>
      <c r="B10" s="9" t="s">
        <v>93</v>
      </c>
      <c r="C10" s="9" t="s">
        <v>157</v>
      </c>
      <c r="D10" s="9" t="s">
        <v>94</v>
      </c>
      <c r="E10">
        <v>0</v>
      </c>
      <c r="F10" s="5">
        <f t="shared" si="0"/>
        <v>28500</v>
      </c>
      <c r="G10" s="38">
        <f t="shared" si="1"/>
        <v>0</v>
      </c>
      <c r="H10">
        <v>37</v>
      </c>
      <c r="I10" s="5">
        <f t="shared" si="2"/>
        <v>34500</v>
      </c>
      <c r="J10" s="39">
        <f t="shared" si="3"/>
        <v>1276500</v>
      </c>
      <c r="K10">
        <v>0</v>
      </c>
      <c r="L10" s="5">
        <f t="shared" si="4"/>
        <v>42500</v>
      </c>
      <c r="M10" s="38">
        <f t="shared" si="5"/>
        <v>0</v>
      </c>
      <c r="N10" s="40">
        <f>$L$41</f>
        <v>17500</v>
      </c>
      <c r="O10" s="34" t="s">
        <v>86</v>
      </c>
      <c r="P10" s="41">
        <f>$L$48</f>
        <v>61500</v>
      </c>
      <c r="Q10" s="42"/>
      <c r="R10" s="43"/>
      <c r="S10" s="38">
        <f t="shared" si="6"/>
        <v>0</v>
      </c>
      <c r="T10" s="42"/>
      <c r="U10" s="41">
        <v>0</v>
      </c>
      <c r="V10" s="41"/>
      <c r="W10" s="41"/>
      <c r="X10" s="41"/>
      <c r="Y10" s="41"/>
      <c r="Z10" s="41"/>
      <c r="AA10" s="41"/>
      <c r="AB10" s="44">
        <f t="shared" si="7"/>
        <v>1355500</v>
      </c>
    </row>
    <row r="11" spans="1:31">
      <c r="A11">
        <v>10</v>
      </c>
      <c r="B11" s="9" t="s">
        <v>97</v>
      </c>
      <c r="C11" s="9" t="s">
        <v>151</v>
      </c>
      <c r="D11" s="9" t="s">
        <v>98</v>
      </c>
      <c r="E11">
        <v>0</v>
      </c>
      <c r="F11" s="5">
        <f t="shared" si="0"/>
        <v>28500</v>
      </c>
      <c r="G11" s="38">
        <f t="shared" si="1"/>
        <v>0</v>
      </c>
      <c r="H11">
        <v>43</v>
      </c>
      <c r="I11" s="5">
        <f t="shared" si="2"/>
        <v>34500</v>
      </c>
      <c r="J11" s="39">
        <f t="shared" si="3"/>
        <v>1483500</v>
      </c>
      <c r="K11">
        <v>0</v>
      </c>
      <c r="L11" s="5">
        <f t="shared" si="4"/>
        <v>42500</v>
      </c>
      <c r="M11" s="38">
        <f t="shared" si="5"/>
        <v>0</v>
      </c>
      <c r="N11" s="38">
        <v>0</v>
      </c>
      <c r="O11" s="34" t="s">
        <v>99</v>
      </c>
      <c r="P11" s="41">
        <f>$L$46</f>
        <v>66000</v>
      </c>
      <c r="Q11" s="42"/>
      <c r="R11" s="43"/>
      <c r="S11" s="38">
        <f t="shared" si="6"/>
        <v>0</v>
      </c>
      <c r="T11" s="42"/>
      <c r="U11" s="38"/>
      <c r="V11" s="38"/>
      <c r="W11" s="38"/>
      <c r="X11" s="38"/>
      <c r="Y11" s="38"/>
      <c r="Z11" s="38"/>
      <c r="AA11" s="38"/>
      <c r="AB11" s="44">
        <f t="shared" si="7"/>
        <v>1549500</v>
      </c>
    </row>
    <row r="12" spans="1:31">
      <c r="A12">
        <v>11</v>
      </c>
      <c r="B12" s="9" t="s">
        <v>89</v>
      </c>
      <c r="C12" s="9" t="s">
        <v>159</v>
      </c>
      <c r="D12" s="9" t="s">
        <v>90</v>
      </c>
      <c r="E12">
        <v>0</v>
      </c>
      <c r="F12" s="5">
        <f t="shared" si="0"/>
        <v>28500</v>
      </c>
      <c r="G12" s="38">
        <f t="shared" si="1"/>
        <v>0</v>
      </c>
      <c r="H12">
        <v>39</v>
      </c>
      <c r="I12" s="5">
        <f t="shared" si="2"/>
        <v>34500</v>
      </c>
      <c r="J12" s="39">
        <f t="shared" si="3"/>
        <v>1345500</v>
      </c>
      <c r="K12">
        <v>0</v>
      </c>
      <c r="L12" s="5">
        <f t="shared" si="4"/>
        <v>42500</v>
      </c>
      <c r="M12" s="38">
        <f t="shared" si="5"/>
        <v>0</v>
      </c>
      <c r="N12" s="40">
        <f>$L$41</f>
        <v>17500</v>
      </c>
      <c r="O12" s="34" t="s">
        <v>86</v>
      </c>
      <c r="P12" s="41">
        <f>$L$48</f>
        <v>61500</v>
      </c>
      <c r="Q12" s="42"/>
      <c r="R12" s="43"/>
      <c r="S12" s="38">
        <f t="shared" si="6"/>
        <v>0</v>
      </c>
      <c r="T12" s="42"/>
      <c r="U12" s="41">
        <v>0</v>
      </c>
      <c r="V12" s="41"/>
      <c r="W12" s="41"/>
      <c r="X12" s="41"/>
      <c r="Y12" s="41"/>
      <c r="Z12" s="41"/>
      <c r="AA12" s="41"/>
      <c r="AB12" s="44">
        <f t="shared" si="7"/>
        <v>1424500</v>
      </c>
    </row>
    <row r="13" spans="1:31">
      <c r="A13">
        <v>12</v>
      </c>
      <c r="B13" s="9" t="s">
        <v>91</v>
      </c>
      <c r="C13" s="9" t="s">
        <v>158</v>
      </c>
      <c r="D13" s="9" t="s">
        <v>92</v>
      </c>
      <c r="E13">
        <v>3</v>
      </c>
      <c r="F13" s="5">
        <f t="shared" si="0"/>
        <v>28500</v>
      </c>
      <c r="G13" s="38">
        <f t="shared" si="1"/>
        <v>85500</v>
      </c>
      <c r="H13">
        <v>32</v>
      </c>
      <c r="I13" s="5">
        <f t="shared" si="2"/>
        <v>34500</v>
      </c>
      <c r="J13" s="39">
        <f t="shared" si="3"/>
        <v>1104000</v>
      </c>
      <c r="K13">
        <v>0</v>
      </c>
      <c r="L13" s="5">
        <f t="shared" si="4"/>
        <v>42500</v>
      </c>
      <c r="M13" s="38">
        <f t="shared" si="5"/>
        <v>0</v>
      </c>
      <c r="N13" s="38">
        <v>0</v>
      </c>
      <c r="O13" t="s">
        <v>75</v>
      </c>
      <c r="P13" s="41">
        <f>$L$44</f>
        <v>55000</v>
      </c>
      <c r="Q13" s="42"/>
      <c r="R13" s="43"/>
      <c r="S13" s="38">
        <f t="shared" si="6"/>
        <v>0</v>
      </c>
      <c r="T13" s="42"/>
      <c r="U13" s="38"/>
      <c r="V13" s="38"/>
      <c r="W13" s="38"/>
      <c r="X13" s="38"/>
      <c r="Y13" s="38"/>
      <c r="Z13" s="38"/>
      <c r="AA13" s="38"/>
      <c r="AB13" s="44">
        <f t="shared" si="7"/>
        <v>1244500</v>
      </c>
    </row>
    <row r="14" spans="1:31">
      <c r="A14">
        <v>14</v>
      </c>
      <c r="B14" s="9" t="s">
        <v>84</v>
      </c>
      <c r="C14" s="9" t="s">
        <v>166</v>
      </c>
      <c r="D14" s="9" t="s">
        <v>85</v>
      </c>
      <c r="E14">
        <v>0</v>
      </c>
      <c r="F14" s="5">
        <f t="shared" si="0"/>
        <v>28500</v>
      </c>
      <c r="G14" s="38">
        <f t="shared" si="1"/>
        <v>0</v>
      </c>
      <c r="H14">
        <v>31</v>
      </c>
      <c r="I14" s="5">
        <f t="shared" si="2"/>
        <v>34500</v>
      </c>
      <c r="J14" s="39">
        <f t="shared" si="3"/>
        <v>1069500</v>
      </c>
      <c r="K14">
        <v>0</v>
      </c>
      <c r="L14" s="5">
        <f t="shared" si="4"/>
        <v>42500</v>
      </c>
      <c r="M14" s="38">
        <f t="shared" si="5"/>
        <v>0</v>
      </c>
      <c r="N14" s="40">
        <f t="shared" ref="N14:N29" si="8">$L$41</f>
        <v>17500</v>
      </c>
      <c r="O14" s="34" t="s">
        <v>86</v>
      </c>
      <c r="P14" s="41">
        <f>$L$48</f>
        <v>61500</v>
      </c>
      <c r="Q14" s="42"/>
      <c r="R14" s="43"/>
      <c r="S14" s="38">
        <f t="shared" si="6"/>
        <v>0</v>
      </c>
      <c r="T14" s="42"/>
      <c r="U14" s="38"/>
      <c r="V14" s="38"/>
      <c r="W14" s="38"/>
      <c r="X14" s="38"/>
      <c r="Y14" s="38"/>
      <c r="Z14" s="38"/>
      <c r="AA14" s="38"/>
      <c r="AB14" s="44">
        <f t="shared" si="7"/>
        <v>1148500</v>
      </c>
    </row>
    <row r="15" spans="1:31">
      <c r="A15">
        <v>15</v>
      </c>
      <c r="B15" s="9" t="s">
        <v>95</v>
      </c>
      <c r="C15" s="9" t="s">
        <v>172</v>
      </c>
      <c r="D15" s="9" t="s">
        <v>96</v>
      </c>
      <c r="E15">
        <v>4</v>
      </c>
      <c r="F15" s="5">
        <f t="shared" si="0"/>
        <v>28500</v>
      </c>
      <c r="G15" s="38">
        <f t="shared" si="1"/>
        <v>114000</v>
      </c>
      <c r="H15">
        <v>28</v>
      </c>
      <c r="I15" s="5">
        <f t="shared" si="2"/>
        <v>34500</v>
      </c>
      <c r="J15" s="39">
        <f t="shared" si="3"/>
        <v>966000</v>
      </c>
      <c r="K15">
        <v>0</v>
      </c>
      <c r="L15" s="5">
        <f t="shared" si="4"/>
        <v>42500</v>
      </c>
      <c r="M15" s="38">
        <f t="shared" si="5"/>
        <v>0</v>
      </c>
      <c r="N15" s="40">
        <f t="shared" si="8"/>
        <v>17500</v>
      </c>
      <c r="O15" s="34" t="s">
        <v>86</v>
      </c>
      <c r="P15" s="41">
        <f>$L$48</f>
        <v>61500</v>
      </c>
      <c r="Q15" s="42"/>
      <c r="R15" s="43"/>
      <c r="S15" s="38">
        <f t="shared" si="6"/>
        <v>0</v>
      </c>
      <c r="T15" s="42"/>
      <c r="U15" s="38"/>
      <c r="V15" s="38"/>
      <c r="W15" s="38"/>
      <c r="X15" s="38"/>
      <c r="Y15" s="38"/>
      <c r="Z15" s="38"/>
      <c r="AA15" s="38"/>
      <c r="AB15" s="44">
        <f t="shared" si="7"/>
        <v>1159000</v>
      </c>
    </row>
    <row r="16" spans="1:31">
      <c r="A16">
        <v>17</v>
      </c>
      <c r="B16" s="9" t="s">
        <v>108</v>
      </c>
      <c r="C16" s="9" t="s">
        <v>169</v>
      </c>
      <c r="D16" s="9" t="s">
        <v>104</v>
      </c>
      <c r="E16">
        <v>0</v>
      </c>
      <c r="F16" s="5">
        <f t="shared" si="0"/>
        <v>28500</v>
      </c>
      <c r="G16" s="38">
        <f t="shared" si="1"/>
        <v>0</v>
      </c>
      <c r="H16">
        <v>34</v>
      </c>
      <c r="I16" s="5">
        <f t="shared" si="2"/>
        <v>34500</v>
      </c>
      <c r="J16" s="39">
        <f t="shared" si="3"/>
        <v>1173000</v>
      </c>
      <c r="K16">
        <v>0</v>
      </c>
      <c r="L16" s="5">
        <f t="shared" si="4"/>
        <v>42500</v>
      </c>
      <c r="M16" s="38">
        <f t="shared" si="5"/>
        <v>0</v>
      </c>
      <c r="N16" s="40">
        <f t="shared" si="8"/>
        <v>17500</v>
      </c>
      <c r="O16" s="34" t="s">
        <v>99</v>
      </c>
      <c r="P16" s="41">
        <f>$L$46</f>
        <v>66000</v>
      </c>
      <c r="Q16" s="42"/>
      <c r="R16" s="43"/>
      <c r="S16" s="38">
        <f t="shared" si="6"/>
        <v>0</v>
      </c>
      <c r="T16" s="42"/>
      <c r="U16" s="38"/>
      <c r="V16" s="38"/>
      <c r="W16" s="38"/>
      <c r="X16" s="38"/>
      <c r="Y16" s="38"/>
      <c r="Z16" s="38"/>
      <c r="AA16" s="38"/>
      <c r="AB16" s="44">
        <f t="shared" si="7"/>
        <v>1256500</v>
      </c>
    </row>
    <row r="17" spans="1:28">
      <c r="A17">
        <v>18</v>
      </c>
      <c r="B17" s="9" t="s">
        <v>103</v>
      </c>
      <c r="C17" s="9" t="s">
        <v>170</v>
      </c>
      <c r="D17" s="9" t="s">
        <v>104</v>
      </c>
      <c r="E17">
        <v>0</v>
      </c>
      <c r="F17" s="5">
        <f t="shared" si="0"/>
        <v>28500</v>
      </c>
      <c r="G17" s="38">
        <f t="shared" si="1"/>
        <v>0</v>
      </c>
      <c r="H17">
        <v>37</v>
      </c>
      <c r="I17" s="5">
        <f t="shared" si="2"/>
        <v>34500</v>
      </c>
      <c r="J17" s="39">
        <f t="shared" si="3"/>
        <v>1276500</v>
      </c>
      <c r="K17">
        <v>0</v>
      </c>
      <c r="L17" s="5">
        <f t="shared" si="4"/>
        <v>42500</v>
      </c>
      <c r="M17" s="38">
        <f t="shared" si="5"/>
        <v>0</v>
      </c>
      <c r="N17" s="40">
        <f t="shared" si="8"/>
        <v>17500</v>
      </c>
      <c r="O17" s="34" t="s">
        <v>86</v>
      </c>
      <c r="P17" s="41">
        <f>$L$48</f>
        <v>61500</v>
      </c>
      <c r="Q17" s="42"/>
      <c r="R17" s="43"/>
      <c r="S17" s="38">
        <f t="shared" si="6"/>
        <v>0</v>
      </c>
      <c r="T17" s="42"/>
      <c r="U17" s="38"/>
      <c r="V17" s="38"/>
      <c r="W17" s="38"/>
      <c r="X17" s="38"/>
      <c r="Y17" s="38"/>
      <c r="Z17" s="38"/>
      <c r="AA17" s="38"/>
      <c r="AB17" s="44">
        <f t="shared" si="7"/>
        <v>1355500</v>
      </c>
    </row>
    <row r="18" spans="1:28">
      <c r="A18">
        <v>19</v>
      </c>
      <c r="B18" s="9" t="s">
        <v>73</v>
      </c>
      <c r="C18" s="9" t="s">
        <v>162</v>
      </c>
      <c r="D18" s="9" t="s">
        <v>74</v>
      </c>
      <c r="E18">
        <v>11</v>
      </c>
      <c r="F18" s="5">
        <f t="shared" si="0"/>
        <v>28500</v>
      </c>
      <c r="G18" s="38">
        <f t="shared" si="1"/>
        <v>313500</v>
      </c>
      <c r="H18">
        <v>10</v>
      </c>
      <c r="I18" s="5">
        <f t="shared" si="2"/>
        <v>34500</v>
      </c>
      <c r="J18" s="39">
        <f t="shared" si="3"/>
        <v>345000</v>
      </c>
      <c r="K18">
        <v>0</v>
      </c>
      <c r="L18" s="5">
        <f t="shared" si="4"/>
        <v>42500</v>
      </c>
      <c r="M18" s="38">
        <f t="shared" si="5"/>
        <v>0</v>
      </c>
      <c r="N18" s="40">
        <f t="shared" si="8"/>
        <v>17500</v>
      </c>
      <c r="O18" t="s">
        <v>75</v>
      </c>
      <c r="P18" s="41">
        <f>$L$44</f>
        <v>55000</v>
      </c>
      <c r="Q18" s="42"/>
      <c r="R18" s="43"/>
      <c r="S18" s="38">
        <f t="shared" si="6"/>
        <v>0</v>
      </c>
      <c r="T18" s="42"/>
      <c r="U18" s="38"/>
      <c r="V18" s="38"/>
      <c r="W18" s="38"/>
      <c r="X18" s="38"/>
      <c r="Y18" s="38"/>
      <c r="Z18" s="38"/>
      <c r="AA18" s="38"/>
      <c r="AB18" s="44">
        <f t="shared" si="7"/>
        <v>731000</v>
      </c>
    </row>
    <row r="19" spans="1:28">
      <c r="A19">
        <v>20</v>
      </c>
      <c r="B19" s="9" t="s">
        <v>76</v>
      </c>
      <c r="C19" s="9" t="s">
        <v>163</v>
      </c>
      <c r="D19" s="9" t="s">
        <v>74</v>
      </c>
      <c r="E19">
        <v>12</v>
      </c>
      <c r="F19" s="5">
        <f t="shared" si="0"/>
        <v>28500</v>
      </c>
      <c r="G19" s="38">
        <f t="shared" si="1"/>
        <v>342000</v>
      </c>
      <c r="H19">
        <v>11</v>
      </c>
      <c r="I19" s="5">
        <f t="shared" si="2"/>
        <v>34500</v>
      </c>
      <c r="J19" s="39">
        <f t="shared" si="3"/>
        <v>379500</v>
      </c>
      <c r="K19">
        <v>0</v>
      </c>
      <c r="L19" s="5">
        <f t="shared" si="4"/>
        <v>42500</v>
      </c>
      <c r="M19" s="38">
        <f t="shared" si="5"/>
        <v>0</v>
      </c>
      <c r="N19" s="40">
        <f t="shared" si="8"/>
        <v>17500</v>
      </c>
      <c r="O19" t="s">
        <v>77</v>
      </c>
      <c r="P19" s="41">
        <f>$L$43</f>
        <v>48000</v>
      </c>
      <c r="R19" s="45"/>
      <c r="S19" s="38">
        <f t="shared" si="6"/>
        <v>0</v>
      </c>
      <c r="T19" s="42"/>
      <c r="U19" s="41">
        <v>0</v>
      </c>
      <c r="V19" s="41"/>
      <c r="W19" s="41"/>
      <c r="X19" s="41"/>
      <c r="Y19" s="41"/>
      <c r="Z19" s="41"/>
      <c r="AA19" s="41"/>
      <c r="AB19" s="44">
        <f t="shared" si="7"/>
        <v>787000</v>
      </c>
    </row>
    <row r="20" spans="1:28">
      <c r="A20">
        <v>21</v>
      </c>
      <c r="B20" s="9" t="s">
        <v>78</v>
      </c>
      <c r="C20" s="9" t="s">
        <v>164</v>
      </c>
      <c r="D20" s="9" t="s">
        <v>74</v>
      </c>
      <c r="E20">
        <v>12</v>
      </c>
      <c r="F20" s="5">
        <f t="shared" si="0"/>
        <v>28500</v>
      </c>
      <c r="G20" s="38">
        <f t="shared" si="1"/>
        <v>342000</v>
      </c>
      <c r="H20">
        <v>11</v>
      </c>
      <c r="I20" s="5">
        <f t="shared" si="2"/>
        <v>34500</v>
      </c>
      <c r="J20" s="39">
        <f t="shared" si="3"/>
        <v>379500</v>
      </c>
      <c r="K20">
        <v>0</v>
      </c>
      <c r="L20" s="5">
        <f t="shared" si="4"/>
        <v>42500</v>
      </c>
      <c r="M20" s="38">
        <f t="shared" si="5"/>
        <v>0</v>
      </c>
      <c r="N20" s="40">
        <f t="shared" si="8"/>
        <v>17500</v>
      </c>
      <c r="O20" t="s">
        <v>75</v>
      </c>
      <c r="P20" s="41">
        <f>$L$44</f>
        <v>55000</v>
      </c>
      <c r="Q20" s="42"/>
      <c r="R20" s="43"/>
      <c r="S20" s="38">
        <f t="shared" si="6"/>
        <v>0</v>
      </c>
      <c r="T20" s="42"/>
      <c r="U20" s="38"/>
      <c r="V20" s="38"/>
      <c r="W20" s="38"/>
      <c r="X20" s="38"/>
      <c r="Y20" s="38"/>
      <c r="Z20" s="38"/>
      <c r="AA20" s="38"/>
      <c r="AB20" s="44">
        <f t="shared" si="7"/>
        <v>794000</v>
      </c>
    </row>
    <row r="21" spans="1:28">
      <c r="A21">
        <v>22</v>
      </c>
      <c r="B21" s="9" t="s">
        <v>79</v>
      </c>
      <c r="C21" s="9" t="s">
        <v>165</v>
      </c>
      <c r="D21" s="9" t="s">
        <v>74</v>
      </c>
      <c r="E21">
        <v>12</v>
      </c>
      <c r="F21" s="5">
        <f t="shared" si="0"/>
        <v>28500</v>
      </c>
      <c r="G21" s="38">
        <f t="shared" si="1"/>
        <v>342000</v>
      </c>
      <c r="H21">
        <v>11</v>
      </c>
      <c r="I21" s="5">
        <f t="shared" si="2"/>
        <v>34500</v>
      </c>
      <c r="J21" s="39">
        <f t="shared" si="3"/>
        <v>379500</v>
      </c>
      <c r="K21">
        <v>0</v>
      </c>
      <c r="L21" s="5">
        <f t="shared" si="4"/>
        <v>42500</v>
      </c>
      <c r="M21" s="38">
        <f t="shared" si="5"/>
        <v>0</v>
      </c>
      <c r="N21" s="40">
        <f t="shared" si="8"/>
        <v>17500</v>
      </c>
      <c r="O21" t="s">
        <v>75</v>
      </c>
      <c r="P21" s="41">
        <f>$L$44</f>
        <v>55000</v>
      </c>
      <c r="Q21" s="42"/>
      <c r="R21" s="43"/>
      <c r="S21" s="38">
        <f t="shared" si="6"/>
        <v>0</v>
      </c>
      <c r="T21" s="42"/>
      <c r="U21" s="41">
        <v>0</v>
      </c>
      <c r="V21" s="41"/>
      <c r="W21" s="41"/>
      <c r="X21" s="41"/>
      <c r="Y21" s="41"/>
      <c r="Z21" s="41"/>
      <c r="AA21" s="41"/>
      <c r="AB21" s="44">
        <f t="shared" si="7"/>
        <v>794000</v>
      </c>
    </row>
    <row r="22" spans="1:28">
      <c r="A22">
        <v>23</v>
      </c>
      <c r="B22" s="9" t="s">
        <v>80</v>
      </c>
      <c r="C22" s="9" t="s">
        <v>174</v>
      </c>
      <c r="D22" s="9" t="s">
        <v>74</v>
      </c>
      <c r="E22">
        <v>0</v>
      </c>
      <c r="F22" s="5">
        <f t="shared" si="0"/>
        <v>28500</v>
      </c>
      <c r="G22" s="38">
        <f t="shared" si="1"/>
        <v>0</v>
      </c>
      <c r="H22">
        <v>36</v>
      </c>
      <c r="I22" s="5">
        <f t="shared" si="2"/>
        <v>34500</v>
      </c>
      <c r="J22" s="39">
        <f t="shared" si="3"/>
        <v>1242000</v>
      </c>
      <c r="K22">
        <v>2</v>
      </c>
      <c r="L22" s="5">
        <f t="shared" si="4"/>
        <v>42500</v>
      </c>
      <c r="M22" s="38">
        <f t="shared" si="5"/>
        <v>85000</v>
      </c>
      <c r="N22" s="40">
        <f t="shared" si="8"/>
        <v>17500</v>
      </c>
      <c r="P22" s="41"/>
      <c r="Q22" s="42"/>
      <c r="R22" s="43"/>
      <c r="S22" s="38">
        <f t="shared" si="6"/>
        <v>0</v>
      </c>
      <c r="T22" s="42"/>
      <c r="U22" s="38"/>
      <c r="V22" s="38"/>
      <c r="W22" s="38"/>
      <c r="X22" s="38"/>
      <c r="Y22" s="38"/>
      <c r="Z22" s="38"/>
      <c r="AA22" s="38"/>
      <c r="AB22" s="44">
        <f t="shared" si="7"/>
        <v>1344500</v>
      </c>
    </row>
    <row r="23" spans="1:28">
      <c r="A23">
        <v>24</v>
      </c>
      <c r="B23" s="9" t="s">
        <v>117</v>
      </c>
      <c r="C23" s="9" t="s">
        <v>168</v>
      </c>
      <c r="D23" s="9" t="s">
        <v>82</v>
      </c>
      <c r="E23">
        <v>4</v>
      </c>
      <c r="F23" s="5">
        <f t="shared" si="0"/>
        <v>28500</v>
      </c>
      <c r="G23" s="38">
        <f t="shared" si="1"/>
        <v>114000</v>
      </c>
      <c r="H23">
        <v>18</v>
      </c>
      <c r="I23" s="5">
        <f t="shared" si="2"/>
        <v>34500</v>
      </c>
      <c r="J23" s="39">
        <f t="shared" si="3"/>
        <v>621000</v>
      </c>
      <c r="K23">
        <v>0</v>
      </c>
      <c r="L23" s="5">
        <f t="shared" si="4"/>
        <v>42500</v>
      </c>
      <c r="M23" s="38">
        <v>0</v>
      </c>
      <c r="N23" s="40">
        <f t="shared" si="8"/>
        <v>17500</v>
      </c>
      <c r="O23" s="34" t="s">
        <v>83</v>
      </c>
      <c r="P23" s="41">
        <f t="shared" ref="P23:P29" si="9">$L$48</f>
        <v>61500</v>
      </c>
      <c r="Q23" s="42"/>
      <c r="R23" s="43"/>
      <c r="S23" s="38">
        <f t="shared" si="6"/>
        <v>0</v>
      </c>
      <c r="T23" s="42"/>
      <c r="U23" s="38"/>
      <c r="V23" s="38"/>
      <c r="W23" s="38"/>
      <c r="X23" s="38"/>
      <c r="Y23" s="38"/>
      <c r="Z23" s="38"/>
      <c r="AA23" s="38"/>
      <c r="AB23" s="44">
        <f t="shared" si="7"/>
        <v>814000</v>
      </c>
    </row>
    <row r="24" spans="1:28">
      <c r="A24">
        <v>25</v>
      </c>
      <c r="B24" s="9" t="s">
        <v>81</v>
      </c>
      <c r="C24" s="9" t="s">
        <v>175</v>
      </c>
      <c r="D24" s="9" t="s">
        <v>82</v>
      </c>
      <c r="E24">
        <v>2</v>
      </c>
      <c r="F24" s="5">
        <f t="shared" si="0"/>
        <v>28500</v>
      </c>
      <c r="G24" s="38">
        <f t="shared" si="1"/>
        <v>57000</v>
      </c>
      <c r="H24">
        <v>33</v>
      </c>
      <c r="I24" s="5">
        <f t="shared" si="2"/>
        <v>34500</v>
      </c>
      <c r="J24" s="39">
        <f t="shared" si="3"/>
        <v>1138500</v>
      </c>
      <c r="K24">
        <v>0</v>
      </c>
      <c r="L24" s="5">
        <f t="shared" si="4"/>
        <v>42500</v>
      </c>
      <c r="M24" s="38">
        <f t="shared" ref="M24:M31" si="10">SUM(K24*L24)</f>
        <v>0</v>
      </c>
      <c r="N24" s="40">
        <f t="shared" si="8"/>
        <v>17500</v>
      </c>
      <c r="O24" s="34" t="s">
        <v>83</v>
      </c>
      <c r="P24" s="41">
        <f t="shared" si="9"/>
        <v>61500</v>
      </c>
      <c r="Q24" s="42"/>
      <c r="R24" s="43"/>
      <c r="S24" s="38">
        <f t="shared" si="6"/>
        <v>0</v>
      </c>
      <c r="T24" s="42"/>
      <c r="U24" s="38"/>
      <c r="V24" s="38"/>
      <c r="W24" s="38"/>
      <c r="X24" s="38"/>
      <c r="Y24" s="38"/>
      <c r="Z24" s="38"/>
      <c r="AA24" s="38"/>
      <c r="AB24" s="44">
        <f t="shared" si="7"/>
        <v>1274500</v>
      </c>
    </row>
    <row r="25" spans="1:28">
      <c r="A25">
        <v>26</v>
      </c>
      <c r="B25" s="9" t="s">
        <v>112</v>
      </c>
      <c r="C25" s="9" t="s">
        <v>149</v>
      </c>
      <c r="D25" s="9" t="s">
        <v>82</v>
      </c>
      <c r="E25">
        <v>2</v>
      </c>
      <c r="F25" s="5">
        <f t="shared" si="0"/>
        <v>28500</v>
      </c>
      <c r="G25" s="38">
        <f t="shared" si="1"/>
        <v>57000</v>
      </c>
      <c r="H25">
        <v>35</v>
      </c>
      <c r="I25" s="5">
        <f t="shared" si="2"/>
        <v>34500</v>
      </c>
      <c r="J25" s="39">
        <f t="shared" si="3"/>
        <v>1207500</v>
      </c>
      <c r="K25">
        <v>0</v>
      </c>
      <c r="L25" s="5">
        <f t="shared" si="4"/>
        <v>42500</v>
      </c>
      <c r="M25" s="38">
        <f t="shared" si="10"/>
        <v>0</v>
      </c>
      <c r="N25" s="40">
        <f t="shared" si="8"/>
        <v>17500</v>
      </c>
      <c r="O25" s="34" t="s">
        <v>86</v>
      </c>
      <c r="P25" s="41">
        <f t="shared" si="9"/>
        <v>61500</v>
      </c>
      <c r="Q25" s="42"/>
      <c r="R25" s="43"/>
      <c r="S25" s="38">
        <f t="shared" si="6"/>
        <v>0</v>
      </c>
      <c r="T25" s="42"/>
      <c r="U25" s="41">
        <v>0</v>
      </c>
      <c r="V25" s="41"/>
      <c r="W25" s="41"/>
      <c r="X25" s="41"/>
      <c r="Y25" s="41"/>
      <c r="Z25" s="41"/>
      <c r="AA25" s="41"/>
      <c r="AB25" s="44">
        <f t="shared" si="7"/>
        <v>1343500</v>
      </c>
    </row>
    <row r="26" spans="1:28">
      <c r="A26">
        <v>27</v>
      </c>
      <c r="B26" s="9" t="s">
        <v>111</v>
      </c>
      <c r="C26" s="9" t="s">
        <v>148</v>
      </c>
      <c r="D26" s="9" t="s">
        <v>82</v>
      </c>
      <c r="E26">
        <v>0</v>
      </c>
      <c r="F26" s="5">
        <f t="shared" si="0"/>
        <v>28500</v>
      </c>
      <c r="G26" s="38">
        <f t="shared" si="1"/>
        <v>0</v>
      </c>
      <c r="H26">
        <v>40</v>
      </c>
      <c r="I26" s="5">
        <f t="shared" si="2"/>
        <v>34500</v>
      </c>
      <c r="J26" s="39">
        <f t="shared" si="3"/>
        <v>1380000</v>
      </c>
      <c r="K26">
        <v>0</v>
      </c>
      <c r="L26" s="5">
        <f t="shared" si="4"/>
        <v>42500</v>
      </c>
      <c r="M26" s="38">
        <f t="shared" si="10"/>
        <v>0</v>
      </c>
      <c r="N26" s="40">
        <f t="shared" si="8"/>
        <v>17500</v>
      </c>
      <c r="O26" s="34" t="s">
        <v>83</v>
      </c>
      <c r="P26" s="41">
        <f t="shared" si="9"/>
        <v>61500</v>
      </c>
      <c r="Q26" s="46">
        <v>4</v>
      </c>
      <c r="R26" s="47">
        <f>$L$46</f>
        <v>66000</v>
      </c>
      <c r="S26" s="38">
        <f t="shared" si="6"/>
        <v>264000</v>
      </c>
      <c r="T26" s="42"/>
      <c r="U26" s="41">
        <v>0</v>
      </c>
      <c r="V26" s="41"/>
      <c r="W26" s="41"/>
      <c r="X26" s="41"/>
      <c r="Y26" s="41"/>
      <c r="Z26" s="41"/>
      <c r="AA26" s="41"/>
      <c r="AB26" s="44">
        <f t="shared" si="7"/>
        <v>1723000</v>
      </c>
    </row>
    <row r="27" spans="1:28">
      <c r="A27">
        <v>29</v>
      </c>
      <c r="B27" s="9" t="s">
        <v>115</v>
      </c>
      <c r="C27" s="9" t="s">
        <v>150</v>
      </c>
      <c r="D27" s="9" t="s">
        <v>82</v>
      </c>
      <c r="E27">
        <v>0</v>
      </c>
      <c r="F27" s="5">
        <f t="shared" si="0"/>
        <v>28500</v>
      </c>
      <c r="G27" s="38">
        <f t="shared" si="1"/>
        <v>0</v>
      </c>
      <c r="H27">
        <v>41</v>
      </c>
      <c r="I27" s="5">
        <f t="shared" si="2"/>
        <v>34500</v>
      </c>
      <c r="J27" s="39">
        <f t="shared" si="3"/>
        <v>1414500</v>
      </c>
      <c r="K27">
        <v>0</v>
      </c>
      <c r="L27" s="5">
        <f t="shared" si="4"/>
        <v>42500</v>
      </c>
      <c r="M27" s="38">
        <f t="shared" si="10"/>
        <v>0</v>
      </c>
      <c r="N27" s="40">
        <f t="shared" si="8"/>
        <v>17500</v>
      </c>
      <c r="O27" s="34" t="s">
        <v>83</v>
      </c>
      <c r="P27" s="41">
        <f t="shared" si="9"/>
        <v>61500</v>
      </c>
      <c r="Q27" s="42"/>
      <c r="R27" s="43"/>
      <c r="S27" s="38">
        <f t="shared" si="6"/>
        <v>0</v>
      </c>
      <c r="T27" s="42" t="s">
        <v>116</v>
      </c>
      <c r="U27" s="41">
        <f>$L$37</f>
        <v>28500</v>
      </c>
      <c r="V27" s="41"/>
      <c r="W27" s="41"/>
      <c r="X27" s="41"/>
      <c r="Y27" s="41"/>
      <c r="Z27" s="41"/>
      <c r="AA27" s="41"/>
      <c r="AB27" s="44">
        <f t="shared" si="7"/>
        <v>1522000</v>
      </c>
    </row>
    <row r="28" spans="1:28">
      <c r="A28">
        <v>30</v>
      </c>
      <c r="B28" s="9" t="s">
        <v>105</v>
      </c>
      <c r="C28" s="9" t="s">
        <v>147</v>
      </c>
      <c r="D28" s="9" t="s">
        <v>106</v>
      </c>
      <c r="E28">
        <v>3</v>
      </c>
      <c r="F28" s="5">
        <f t="shared" si="0"/>
        <v>28500</v>
      </c>
      <c r="G28" s="38">
        <f t="shared" si="1"/>
        <v>85500</v>
      </c>
      <c r="H28">
        <v>34</v>
      </c>
      <c r="I28" s="5">
        <f t="shared" si="2"/>
        <v>34500</v>
      </c>
      <c r="J28" s="39">
        <f t="shared" si="3"/>
        <v>1173000</v>
      </c>
      <c r="K28">
        <v>0</v>
      </c>
      <c r="L28" s="5">
        <f t="shared" si="4"/>
        <v>42500</v>
      </c>
      <c r="M28" s="38">
        <f t="shared" si="10"/>
        <v>0</v>
      </c>
      <c r="N28" s="40">
        <f t="shared" si="8"/>
        <v>17500</v>
      </c>
      <c r="O28" s="34" t="s">
        <v>83</v>
      </c>
      <c r="P28" s="41">
        <f t="shared" si="9"/>
        <v>61500</v>
      </c>
      <c r="Q28" s="42"/>
      <c r="R28" s="43"/>
      <c r="S28" s="38">
        <f t="shared" si="6"/>
        <v>0</v>
      </c>
      <c r="T28" s="42"/>
      <c r="U28" s="38"/>
      <c r="V28" s="38"/>
      <c r="W28" s="38"/>
      <c r="X28" s="38"/>
      <c r="Y28" s="38"/>
      <c r="Z28" s="38"/>
      <c r="AA28" s="38"/>
      <c r="AB28" s="44">
        <f t="shared" si="7"/>
        <v>1337500</v>
      </c>
    </row>
    <row r="29" spans="1:28">
      <c r="A29">
        <v>31</v>
      </c>
      <c r="B29" s="9" t="s">
        <v>107</v>
      </c>
      <c r="C29" s="9" t="s">
        <v>146</v>
      </c>
      <c r="D29" s="9" t="s">
        <v>82</v>
      </c>
      <c r="E29">
        <v>0</v>
      </c>
      <c r="F29" s="5">
        <f t="shared" si="0"/>
        <v>28500</v>
      </c>
      <c r="G29" s="38">
        <f t="shared" si="1"/>
        <v>0</v>
      </c>
      <c r="H29">
        <v>28</v>
      </c>
      <c r="I29" s="5">
        <f t="shared" si="2"/>
        <v>34500</v>
      </c>
      <c r="J29" s="39">
        <f t="shared" si="3"/>
        <v>966000</v>
      </c>
      <c r="K29">
        <v>0</v>
      </c>
      <c r="L29" s="5">
        <f t="shared" si="4"/>
        <v>42500</v>
      </c>
      <c r="M29" s="38">
        <f t="shared" si="10"/>
        <v>0</v>
      </c>
      <c r="N29" s="40">
        <f t="shared" si="8"/>
        <v>17500</v>
      </c>
      <c r="O29" s="34" t="s">
        <v>86</v>
      </c>
      <c r="P29" s="41">
        <f t="shared" si="9"/>
        <v>61500</v>
      </c>
      <c r="Q29" s="42"/>
      <c r="R29" s="43"/>
      <c r="S29" s="38">
        <f t="shared" si="6"/>
        <v>0</v>
      </c>
      <c r="T29" s="42"/>
      <c r="U29" s="38"/>
      <c r="V29" s="38"/>
      <c r="W29" s="38"/>
      <c r="X29" s="38"/>
      <c r="Y29" s="38"/>
      <c r="Z29" s="38"/>
      <c r="AA29" s="38"/>
      <c r="AB29" s="44">
        <f t="shared" si="7"/>
        <v>1045000</v>
      </c>
    </row>
    <row r="30" spans="1:28">
      <c r="A30">
        <v>32</v>
      </c>
      <c r="B30" s="9" t="s">
        <v>120</v>
      </c>
      <c r="C30" s="9" t="s">
        <v>154</v>
      </c>
      <c r="D30" s="9" t="s">
        <v>82</v>
      </c>
      <c r="E30">
        <v>0</v>
      </c>
      <c r="F30" s="5">
        <f t="shared" si="0"/>
        <v>28500</v>
      </c>
      <c r="G30" s="38">
        <f t="shared" si="1"/>
        <v>0</v>
      </c>
      <c r="H30">
        <v>30</v>
      </c>
      <c r="I30" s="5">
        <f t="shared" si="2"/>
        <v>34500</v>
      </c>
      <c r="J30" s="39">
        <f t="shared" si="3"/>
        <v>1035000</v>
      </c>
      <c r="K30">
        <v>0</v>
      </c>
      <c r="L30" s="5">
        <f t="shared" si="4"/>
        <v>42500</v>
      </c>
      <c r="M30" s="38">
        <f t="shared" si="10"/>
        <v>0</v>
      </c>
      <c r="N30" s="38">
        <v>0</v>
      </c>
      <c r="O30" s="34" t="s">
        <v>121</v>
      </c>
      <c r="P30" s="41">
        <f>$L$47</f>
        <v>54000</v>
      </c>
      <c r="Q30" s="42"/>
      <c r="R30" s="43"/>
      <c r="S30" s="38">
        <f t="shared" si="6"/>
        <v>0</v>
      </c>
      <c r="T30" s="42"/>
      <c r="U30" s="40">
        <v>0</v>
      </c>
      <c r="V30" s="38"/>
      <c r="W30" s="38"/>
      <c r="X30" s="38"/>
      <c r="Y30" s="38"/>
      <c r="Z30" s="38"/>
      <c r="AA30" s="38"/>
      <c r="AB30" s="44">
        <f t="shared" si="7"/>
        <v>1089000</v>
      </c>
    </row>
    <row r="31" spans="1:28">
      <c r="A31">
        <v>33</v>
      </c>
      <c r="B31" s="9" t="s">
        <v>118</v>
      </c>
      <c r="C31" s="9" t="s">
        <v>153</v>
      </c>
      <c r="D31" s="9" t="s">
        <v>119</v>
      </c>
      <c r="E31">
        <v>0</v>
      </c>
      <c r="F31" s="5">
        <f t="shared" si="0"/>
        <v>28500</v>
      </c>
      <c r="G31" s="38">
        <f t="shared" si="1"/>
        <v>0</v>
      </c>
      <c r="H31">
        <v>30</v>
      </c>
      <c r="I31" s="5">
        <f t="shared" si="2"/>
        <v>34500</v>
      </c>
      <c r="J31" s="39">
        <f t="shared" si="3"/>
        <v>1035000</v>
      </c>
      <c r="K31">
        <v>2</v>
      </c>
      <c r="L31" s="5">
        <f t="shared" si="4"/>
        <v>42500</v>
      </c>
      <c r="M31" s="38">
        <f t="shared" si="10"/>
        <v>85000</v>
      </c>
      <c r="N31" s="40">
        <f>$L$41</f>
        <v>17500</v>
      </c>
      <c r="O31" s="34" t="s">
        <v>83</v>
      </c>
      <c r="P31" s="41">
        <f>$L$48</f>
        <v>61500</v>
      </c>
      <c r="Q31" s="42"/>
      <c r="R31" s="43"/>
      <c r="S31" s="38">
        <f t="shared" si="6"/>
        <v>0</v>
      </c>
      <c r="T31" s="42"/>
      <c r="U31" s="38"/>
      <c r="V31" s="38"/>
      <c r="W31" s="38"/>
      <c r="X31" s="38"/>
      <c r="Y31" s="38"/>
      <c r="Z31" s="38"/>
      <c r="AA31" s="38"/>
      <c r="AB31" s="44">
        <f t="shared" si="7"/>
        <v>1199000</v>
      </c>
    </row>
    <row r="32" spans="1:28">
      <c r="B32" s="48"/>
      <c r="C32" s="48"/>
      <c r="D32" s="48"/>
      <c r="E32">
        <f>SUM(E5:E31)</f>
        <v>83</v>
      </c>
      <c r="F32" s="5"/>
      <c r="G32" s="39">
        <f>SUM(G5:G31)</f>
        <v>2365500</v>
      </c>
      <c r="H32">
        <f>SUM(H5:H31)</f>
        <v>779</v>
      </c>
      <c r="I32" s="5"/>
      <c r="J32" s="39">
        <f>SUM(J5:J31)</f>
        <v>26875500</v>
      </c>
      <c r="K32">
        <f>SUM(K5:K31)</f>
        <v>12</v>
      </c>
      <c r="L32" s="5"/>
      <c r="M32" s="39">
        <f>SUM(M5:M31)</f>
        <v>510000</v>
      </c>
      <c r="N32" s="40">
        <f>SUM(N5:N31)</f>
        <v>402500</v>
      </c>
      <c r="O32" s="34"/>
      <c r="P32" s="41">
        <f>SUM(P5:P31)</f>
        <v>1547500</v>
      </c>
      <c r="Q32" s="42"/>
      <c r="R32" s="43"/>
      <c r="S32" s="41">
        <f>SUM(S5:S31)</f>
        <v>264000</v>
      </c>
      <c r="T32" s="42"/>
      <c r="U32" s="41">
        <f>SUM(U5:U31)</f>
        <v>28500</v>
      </c>
      <c r="V32" s="38"/>
      <c r="W32" s="38"/>
      <c r="X32" s="38"/>
      <c r="Y32" s="38"/>
      <c r="Z32" s="38"/>
      <c r="AA32" s="38"/>
      <c r="AB32" s="44">
        <f>SUM(AB5:AB31)</f>
        <v>31993500</v>
      </c>
    </row>
    <row r="33" spans="1:31">
      <c r="A33" s="31" t="s">
        <v>122</v>
      </c>
      <c r="B33" s="48"/>
      <c r="C33" s="48"/>
      <c r="D33" s="48"/>
      <c r="F33" s="5"/>
      <c r="G33" s="38"/>
      <c r="I33" s="5"/>
      <c r="J33" s="39"/>
      <c r="L33" s="5"/>
      <c r="M33" s="38"/>
      <c r="N33" s="38"/>
      <c r="O33" s="34"/>
      <c r="P33" s="41"/>
      <c r="Q33" s="42"/>
      <c r="R33" s="43"/>
      <c r="S33" s="38"/>
      <c r="T33" s="42"/>
      <c r="U33" s="40"/>
      <c r="V33" s="38"/>
      <c r="W33" s="38"/>
      <c r="X33" s="38"/>
      <c r="Y33" s="38"/>
      <c r="Z33" s="38"/>
      <c r="AA33" s="38"/>
      <c r="AB33" s="44"/>
    </row>
    <row r="34" spans="1:31">
      <c r="A34" s="45">
        <v>36</v>
      </c>
      <c r="B34" s="49" t="s">
        <v>123</v>
      </c>
      <c r="C34" s="49" t="s">
        <v>176</v>
      </c>
      <c r="D34" s="49" t="s">
        <v>85</v>
      </c>
      <c r="F34" s="5"/>
      <c r="G34" s="38"/>
      <c r="H34">
        <v>20</v>
      </c>
      <c r="I34" s="5">
        <f>$L$38*102.18%</f>
        <v>35252.1</v>
      </c>
      <c r="J34" s="39">
        <f>SUM(H34*I34)+34500</f>
        <v>739542</v>
      </c>
      <c r="L34" s="5">
        <f>$L$39</f>
        <v>42500</v>
      </c>
      <c r="M34" s="38"/>
      <c r="N34" s="38"/>
      <c r="O34" s="34"/>
      <c r="P34" s="41"/>
      <c r="Q34" s="42"/>
      <c r="R34" s="43"/>
      <c r="S34" s="38"/>
      <c r="T34" s="42"/>
      <c r="U34" s="38"/>
      <c r="V34" s="38"/>
      <c r="W34" s="38"/>
      <c r="X34" s="38"/>
      <c r="Y34" s="38"/>
      <c r="Z34" s="38"/>
      <c r="AA34" s="38"/>
      <c r="AB34" s="44">
        <f>J34</f>
        <v>739542</v>
      </c>
    </row>
    <row r="35" spans="1:31">
      <c r="A35" s="45">
        <v>37</v>
      </c>
      <c r="B35" s="49" t="s">
        <v>124</v>
      </c>
      <c r="C35" s="49"/>
      <c r="D35" s="49" t="s">
        <v>85</v>
      </c>
      <c r="F35" s="5"/>
      <c r="G35" s="38"/>
      <c r="I35" s="5"/>
      <c r="J35" s="39"/>
      <c r="K35">
        <v>8</v>
      </c>
      <c r="L35" s="5">
        <f>$L$39</f>
        <v>42500</v>
      </c>
      <c r="M35" s="38">
        <f>SUM(K35*L35)</f>
        <v>340000</v>
      </c>
      <c r="N35" s="38"/>
      <c r="O35" s="34"/>
      <c r="P35" s="41"/>
      <c r="Q35" s="42"/>
      <c r="R35" s="43"/>
      <c r="S35" s="38"/>
      <c r="T35" s="42"/>
      <c r="U35" s="38"/>
      <c r="V35" s="50">
        <v>6</v>
      </c>
      <c r="W35" s="40">
        <f>L49</f>
        <v>50000</v>
      </c>
      <c r="X35" s="38">
        <f>V35*W35</f>
        <v>300000</v>
      </c>
      <c r="Y35" s="50">
        <v>1</v>
      </c>
      <c r="Z35" s="40">
        <f>L40</f>
        <v>53000</v>
      </c>
      <c r="AA35" s="38">
        <f>Y35*Z35</f>
        <v>53000</v>
      </c>
      <c r="AB35" s="44">
        <f>AA35+X35+M35</f>
        <v>693000</v>
      </c>
    </row>
    <row r="36" spans="1:31" s="22" customFormat="1" ht="12.75">
      <c r="B36" s="27"/>
      <c r="C36" s="27"/>
      <c r="D36" s="27"/>
      <c r="E36" s="22">
        <f>E32+E34+E35</f>
        <v>83</v>
      </c>
      <c r="H36" s="22">
        <f>H32+H34+H35</f>
        <v>799</v>
      </c>
      <c r="K36" s="22">
        <f>K32+K34+K35</f>
        <v>20</v>
      </c>
      <c r="O36" s="22">
        <v>25</v>
      </c>
      <c r="Q36" s="22">
        <f>SUM(Q5:Q35)</f>
        <v>4</v>
      </c>
      <c r="T36" s="22">
        <v>1</v>
      </c>
      <c r="V36" s="22">
        <f>SUM(V5:V35)</f>
        <v>6</v>
      </c>
      <c r="Y36" s="22">
        <f>SUM(Y5:Y35)</f>
        <v>1</v>
      </c>
      <c r="AB36" s="51">
        <f>SUM(AB32:AB35)</f>
        <v>33426042</v>
      </c>
    </row>
    <row r="37" spans="1:31">
      <c r="B37" s="34"/>
      <c r="C37" s="34"/>
      <c r="D37" s="34"/>
      <c r="J37" t="s">
        <v>125</v>
      </c>
      <c r="L37" s="5">
        <v>28500</v>
      </c>
      <c r="O37">
        <v>5</v>
      </c>
      <c r="P37" s="52" t="s">
        <v>126</v>
      </c>
    </row>
    <row r="38" spans="1:31">
      <c r="B38" s="34"/>
      <c r="C38" s="34"/>
      <c r="D38" s="34"/>
      <c r="F38" s="31" t="s">
        <v>127</v>
      </c>
      <c r="H38" s="52"/>
      <c r="J38" t="s">
        <v>128</v>
      </c>
      <c r="L38" s="5">
        <v>34500</v>
      </c>
      <c r="O38">
        <v>2</v>
      </c>
      <c r="P38" s="52" t="s">
        <v>129</v>
      </c>
      <c r="T38" s="53"/>
    </row>
    <row r="39" spans="1:31">
      <c r="B39" s="34"/>
      <c r="C39" s="34"/>
      <c r="D39" s="34"/>
      <c r="F39" t="s">
        <v>130</v>
      </c>
      <c r="G39" s="32">
        <f>E36+H36+K36+O36+Q36+T36+V36+Y36</f>
        <v>939</v>
      </c>
      <c r="J39" t="s">
        <v>131</v>
      </c>
      <c r="L39" s="5">
        <v>42500</v>
      </c>
      <c r="O39" s="52">
        <v>18</v>
      </c>
      <c r="P39" t="s">
        <v>132</v>
      </c>
    </row>
    <row r="40" spans="1:31">
      <c r="B40" s="34"/>
      <c r="C40" s="34"/>
      <c r="G40" s="54"/>
      <c r="I40" s="55"/>
      <c r="J40" t="s">
        <v>133</v>
      </c>
      <c r="L40" s="5">
        <v>53000</v>
      </c>
      <c r="AB40" s="56"/>
    </row>
    <row r="41" spans="1:31">
      <c r="B41">
        <v>2014</v>
      </c>
      <c r="C41" s="34"/>
      <c r="D41" s="77" t="s">
        <v>134</v>
      </c>
      <c r="E41" s="77"/>
      <c r="F41" t="s">
        <v>51</v>
      </c>
      <c r="G41" s="58">
        <f>G39-G42</f>
        <v>904</v>
      </c>
      <c r="J41" t="s">
        <v>135</v>
      </c>
      <c r="L41" s="5">
        <v>17500</v>
      </c>
      <c r="S41" s="56"/>
      <c r="U41" s="5"/>
      <c r="V41" s="5"/>
      <c r="W41" s="5"/>
      <c r="X41" s="5"/>
      <c r="Y41" s="5"/>
      <c r="Z41" s="5"/>
      <c r="AA41" s="5"/>
      <c r="AB41" s="56"/>
      <c r="AC41" s="56"/>
      <c r="AD41" s="56"/>
      <c r="AE41" s="5"/>
    </row>
    <row r="42" spans="1:31">
      <c r="B42" s="52" t="s">
        <v>145</v>
      </c>
      <c r="C42" s="34"/>
      <c r="D42" s="34"/>
      <c r="F42" t="s">
        <v>136</v>
      </c>
      <c r="G42" s="58">
        <f>H34+K35+V35+Y35</f>
        <v>35</v>
      </c>
      <c r="J42" t="s">
        <v>137</v>
      </c>
      <c r="L42" s="5">
        <v>38500</v>
      </c>
      <c r="S42" s="56"/>
      <c r="U42" s="5"/>
      <c r="V42" s="5"/>
      <c r="W42" s="5"/>
      <c r="X42" s="5"/>
      <c r="Y42" s="5"/>
      <c r="Z42" s="5"/>
      <c r="AA42" s="5"/>
      <c r="AB42" s="56"/>
      <c r="AC42" s="56"/>
      <c r="AD42" s="56"/>
      <c r="AE42" s="5"/>
    </row>
    <row r="43" spans="1:31">
      <c r="B43" s="34"/>
      <c r="C43" s="34"/>
      <c r="D43" s="34"/>
      <c r="J43" t="s">
        <v>138</v>
      </c>
      <c r="L43" s="5">
        <v>48000</v>
      </c>
      <c r="S43" s="56"/>
      <c r="U43" s="5"/>
      <c r="V43" s="5"/>
      <c r="W43" s="5"/>
      <c r="X43" s="5"/>
      <c r="Y43" s="5"/>
      <c r="Z43" s="5"/>
      <c r="AA43" s="5"/>
      <c r="AE43" s="5"/>
    </row>
    <row r="44" spans="1:31">
      <c r="B44" s="34"/>
      <c r="C44" s="34"/>
      <c r="D44" s="34"/>
      <c r="J44" t="s">
        <v>139</v>
      </c>
      <c r="L44" s="5">
        <v>55000</v>
      </c>
      <c r="S44" s="56"/>
      <c r="T44" s="56"/>
      <c r="U44" s="5"/>
      <c r="V44" s="5"/>
      <c r="W44" s="5"/>
      <c r="X44" s="5"/>
      <c r="Y44" s="5"/>
      <c r="Z44" s="5"/>
      <c r="AA44" s="5"/>
      <c r="AE44" s="5"/>
    </row>
    <row r="45" spans="1:31">
      <c r="J45" t="s">
        <v>140</v>
      </c>
      <c r="L45" s="5">
        <v>60500</v>
      </c>
      <c r="S45" s="56"/>
      <c r="T45" s="56"/>
      <c r="U45" s="5"/>
      <c r="V45" s="5"/>
      <c r="W45" s="5"/>
      <c r="X45" s="5"/>
      <c r="Y45" s="5"/>
      <c r="Z45" s="5"/>
      <c r="AA45" s="5"/>
      <c r="AC45" s="56"/>
      <c r="AD45" s="56"/>
      <c r="AE45" s="5"/>
    </row>
    <row r="46" spans="1:31">
      <c r="J46" t="s">
        <v>141</v>
      </c>
      <c r="L46" s="5">
        <v>66000</v>
      </c>
      <c r="S46" s="56"/>
      <c r="T46" s="56"/>
      <c r="U46" s="5"/>
      <c r="V46" s="5"/>
      <c r="W46" s="5"/>
      <c r="X46" s="5"/>
      <c r="Y46" s="5"/>
      <c r="Z46" s="5"/>
      <c r="AA46" s="5"/>
      <c r="AC46" s="56"/>
      <c r="AD46" s="56"/>
      <c r="AE46" s="5"/>
    </row>
    <row r="47" spans="1:31">
      <c r="J47" t="s">
        <v>142</v>
      </c>
      <c r="L47" s="5">
        <v>54000</v>
      </c>
      <c r="S47" s="56"/>
      <c r="T47" s="56"/>
      <c r="U47" s="5"/>
      <c r="V47" s="5"/>
      <c r="W47" s="5"/>
      <c r="X47" s="5"/>
      <c r="Y47" s="5"/>
      <c r="Z47" s="5"/>
      <c r="AA47" s="5"/>
      <c r="AC47" s="56"/>
      <c r="AD47" s="56"/>
      <c r="AE47" s="5"/>
    </row>
    <row r="48" spans="1:31">
      <c r="J48" t="s">
        <v>143</v>
      </c>
      <c r="L48" s="5">
        <v>61500</v>
      </c>
    </row>
    <row r="49" spans="2:12">
      <c r="J49" t="s">
        <v>144</v>
      </c>
      <c r="L49" s="5">
        <v>50000</v>
      </c>
    </row>
    <row r="54" spans="2:12">
      <c r="C54" t="s">
        <v>177</v>
      </c>
      <c r="D54" t="s">
        <v>178</v>
      </c>
      <c r="E54" t="s">
        <v>177</v>
      </c>
      <c r="F54" t="s">
        <v>178</v>
      </c>
      <c r="G54" t="s">
        <v>177</v>
      </c>
    </row>
    <row r="55" spans="2:12">
      <c r="C55" s="57" t="s">
        <v>179</v>
      </c>
      <c r="E55" t="s">
        <v>180</v>
      </c>
      <c r="G55" t="s">
        <v>181</v>
      </c>
    </row>
    <row r="56" spans="2:12">
      <c r="B56" s="54" t="s">
        <v>19</v>
      </c>
      <c r="C56" s="52">
        <f>E5+H5+K5</f>
        <v>44</v>
      </c>
      <c r="D56" s="60">
        <f>J5+M5</f>
        <v>1582000</v>
      </c>
    </row>
    <row r="57" spans="2:12">
      <c r="B57" s="54" t="s">
        <v>20</v>
      </c>
      <c r="C57">
        <f>E6+H6</f>
        <v>37</v>
      </c>
      <c r="D57" s="5">
        <f>J6</f>
        <v>1276500</v>
      </c>
    </row>
    <row r="58" spans="2:12">
      <c r="B58" s="54" t="s">
        <v>22</v>
      </c>
      <c r="C58">
        <f>E7+H7</f>
        <v>27</v>
      </c>
      <c r="D58" s="5">
        <f>J7</f>
        <v>931500</v>
      </c>
    </row>
    <row r="59" spans="2:12">
      <c r="B59" s="54" t="s">
        <v>23</v>
      </c>
      <c r="C59">
        <f>E8+H8</f>
        <v>32</v>
      </c>
      <c r="D59" s="5">
        <f>G9+J9</f>
        <v>468000</v>
      </c>
    </row>
    <row r="60" spans="2:12">
      <c r="B60" s="54" t="s">
        <v>24</v>
      </c>
      <c r="C60">
        <f>E9+H9</f>
        <v>16</v>
      </c>
      <c r="D60" s="5">
        <f>G9+J9</f>
        <v>468000</v>
      </c>
    </row>
    <row r="61" spans="2:12">
      <c r="B61" s="54" t="s">
        <v>34</v>
      </c>
      <c r="C61">
        <f>E10+H10+E11+H11+E12+H12</f>
        <v>119</v>
      </c>
      <c r="D61" s="5">
        <f>F10+I10+F11+I11+F12+I12</f>
        <v>189000</v>
      </c>
    </row>
    <row r="62" spans="2:12">
      <c r="B62" s="54" t="s">
        <v>35</v>
      </c>
      <c r="C62">
        <f>E13+H13</f>
        <v>35</v>
      </c>
      <c r="D62" s="5">
        <f>F13+I13</f>
        <v>63000</v>
      </c>
    </row>
    <row r="63" spans="2:12">
      <c r="B63" s="54" t="s">
        <v>36</v>
      </c>
      <c r="C63">
        <f>E14+H14+E15+H15</f>
        <v>63</v>
      </c>
      <c r="D63" s="5">
        <f>F14+I14+F15+I15</f>
        <v>126000</v>
      </c>
    </row>
    <row r="64" spans="2:12">
      <c r="B64" s="54" t="s">
        <v>37</v>
      </c>
      <c r="C64">
        <f>E16+H16+H17+E17</f>
        <v>71</v>
      </c>
      <c r="D64" s="5">
        <f>F16+I16+I17+F17</f>
        <v>126000</v>
      </c>
    </row>
    <row r="65" spans="2:4">
      <c r="B65" s="54" t="s">
        <v>38</v>
      </c>
      <c r="C65">
        <f>E18+H18+H19+E19+E20+H20+H21+E21</f>
        <v>90</v>
      </c>
      <c r="D65" s="5">
        <f>F18+I18+I19+F19+F20+I20+I21+F21</f>
        <v>252000</v>
      </c>
    </row>
    <row r="66" spans="2:4">
      <c r="B66" s="54" t="s">
        <v>39</v>
      </c>
      <c r="C66">
        <f>E23+H23+H24+E24</f>
        <v>57</v>
      </c>
      <c r="D66" s="5">
        <f>F23+I23+I24+F24</f>
        <v>126000</v>
      </c>
    </row>
    <row r="67" spans="2:4">
      <c r="B67" s="54" t="s">
        <v>40</v>
      </c>
      <c r="C67">
        <f>E25+H25+H26+E26</f>
        <v>77</v>
      </c>
      <c r="D67" s="5">
        <f>F25+I25+I26+F26</f>
        <v>126000</v>
      </c>
    </row>
    <row r="68" spans="2:4">
      <c r="B68" s="54" t="s">
        <v>41</v>
      </c>
      <c r="C68">
        <f>E27+H27+H28+E28</f>
        <v>78</v>
      </c>
      <c r="D68" s="5">
        <f>F27+I27+I28+F28</f>
        <v>126000</v>
      </c>
    </row>
    <row r="69" spans="2:4">
      <c r="B69" s="54" t="s">
        <v>42</v>
      </c>
      <c r="C69">
        <f t="shared" ref="C69:D71" si="11">E29+H29</f>
        <v>28</v>
      </c>
      <c r="D69" s="5">
        <f t="shared" si="11"/>
        <v>63000</v>
      </c>
    </row>
    <row r="70" spans="2:4">
      <c r="B70" s="54" t="s">
        <v>43</v>
      </c>
      <c r="C70">
        <f t="shared" si="11"/>
        <v>30</v>
      </c>
      <c r="D70" s="5">
        <f t="shared" si="11"/>
        <v>63000</v>
      </c>
    </row>
    <row r="71" spans="2:4">
      <c r="B71" s="54" t="s">
        <v>44</v>
      </c>
      <c r="C71">
        <f t="shared" si="11"/>
        <v>30</v>
      </c>
      <c r="D71" s="5">
        <f t="shared" si="11"/>
        <v>63000</v>
      </c>
    </row>
    <row r="72" spans="2:4">
      <c r="C72">
        <f>SUM(C56:C71)</f>
        <v>834</v>
      </c>
      <c r="D72" s="5">
        <f>SUM(D56:D71)</f>
        <v>6049000</v>
      </c>
    </row>
  </sheetData>
  <mergeCells count="1">
    <mergeCell ref="D41:E41"/>
  </mergeCells>
  <pageMargins left="0.31496062992125984" right="0.31496062992125984" top="0.35433070866141736" bottom="0.35433070866141736" header="0.31496062992125984" footer="0.31496062992125984"/>
  <pageSetup paperSize="50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Band-Post code !!!</vt:lpstr>
      <vt:lpstr>Summary by Post code</vt:lpstr>
      <vt:lpstr>Sheltered</vt:lpstr>
      <vt:lpstr>Sheet1</vt:lpstr>
    </vt:vector>
  </TitlesOfParts>
  <Company>NTC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grus0406</dc:creator>
  <cp:lastModifiedBy>mste0404</cp:lastModifiedBy>
  <cp:lastPrinted>2016-04-08T07:40:30Z</cp:lastPrinted>
  <dcterms:created xsi:type="dcterms:W3CDTF">2015-03-18T10:44:35Z</dcterms:created>
  <dcterms:modified xsi:type="dcterms:W3CDTF">2018-05-03T09:18:03Z</dcterms:modified>
</cp:coreProperties>
</file>