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14235" windowHeight="8130"/>
  </bookViews>
  <sheets>
    <sheet name="Summary by Band-Post code !!!" sheetId="4" r:id="rId1"/>
    <sheet name="Summary by Post code" sheetId="5" state="hidden" r:id="rId2"/>
    <sheet name="Sheltered" sheetId="3" state="hidden" r:id="rId3"/>
    <sheet name="Sheet1" sheetId="6" state="hidden" r:id="rId4"/>
  </sheets>
  <calcPr calcId="144525"/>
</workbook>
</file>

<file path=xl/calcChain.xml><?xml version="1.0" encoding="utf-8"?>
<calcChain xmlns="http://schemas.openxmlformats.org/spreadsheetml/2006/main">
  <c r="K42" i="4" l="1"/>
  <c r="K41" i="4"/>
  <c r="K40" i="4"/>
  <c r="K39" i="4"/>
  <c r="K38" i="4"/>
  <c r="K37" i="4"/>
  <c r="K36" i="4"/>
  <c r="K35" i="4"/>
  <c r="K33" i="4"/>
  <c r="K32" i="4"/>
  <c r="K31" i="4"/>
  <c r="K30" i="4"/>
  <c r="K29" i="4"/>
  <c r="K28" i="4"/>
  <c r="K27" i="4"/>
  <c r="K26" i="4"/>
  <c r="K25" i="4"/>
  <c r="K23" i="4"/>
  <c r="K22" i="4"/>
  <c r="K21" i="4"/>
  <c r="K20" i="4"/>
  <c r="K19" i="4"/>
  <c r="K18" i="4"/>
  <c r="K17" i="4"/>
  <c r="K16" i="4"/>
  <c r="K15" i="4"/>
  <c r="K14" i="4"/>
  <c r="K7" i="4"/>
  <c r="K8" i="4"/>
  <c r="K9" i="4"/>
  <c r="K10" i="4"/>
  <c r="K11" i="4"/>
  <c r="K12" i="4"/>
  <c r="L34" i="4"/>
  <c r="L43" i="4"/>
  <c r="L24" i="4"/>
  <c r="H14" i="4"/>
  <c r="E14" i="4"/>
  <c r="H42" i="4"/>
  <c r="E42" i="4"/>
  <c r="H35" i="4"/>
  <c r="E35" i="4"/>
  <c r="H23" i="4" l="1"/>
  <c r="H24" i="4" s="1"/>
  <c r="E23" i="4"/>
  <c r="E24" i="4" s="1"/>
  <c r="E43" i="4"/>
  <c r="H11" i="4"/>
  <c r="F11" i="4" s="1"/>
  <c r="E11" i="4"/>
  <c r="H43" i="4"/>
  <c r="H34" i="4"/>
  <c r="E34" i="4"/>
  <c r="J33" i="4"/>
  <c r="I33" i="4"/>
  <c r="F33" i="4"/>
  <c r="G33" i="4" s="1"/>
  <c r="H6" i="4"/>
  <c r="H13" i="4" s="1"/>
  <c r="E6" i="4"/>
  <c r="C25" i="5"/>
  <c r="C23" i="5"/>
  <c r="F42" i="4"/>
  <c r="J42" i="4"/>
  <c r="J32" i="4"/>
  <c r="F32" i="4"/>
  <c r="G32" i="4" s="1"/>
  <c r="I32" i="4"/>
  <c r="J12" i="4"/>
  <c r="L13" i="4"/>
  <c r="L52" i="4" s="1"/>
  <c r="I12" i="4"/>
  <c r="F12" i="4"/>
  <c r="F40" i="4"/>
  <c r="F39" i="4"/>
  <c r="F38" i="4"/>
  <c r="F37" i="4"/>
  <c r="F36" i="4"/>
  <c r="F35" i="4"/>
  <c r="F31" i="4"/>
  <c r="F30" i="4"/>
  <c r="F29" i="4"/>
  <c r="F28" i="4"/>
  <c r="F27" i="4"/>
  <c r="F26" i="4"/>
  <c r="F25" i="4"/>
  <c r="F22" i="4"/>
  <c r="F21" i="4"/>
  <c r="F20" i="4"/>
  <c r="F19" i="4"/>
  <c r="F18" i="4"/>
  <c r="F17" i="4"/>
  <c r="F16" i="4"/>
  <c r="F15" i="4"/>
  <c r="F7" i="4"/>
  <c r="F8" i="4"/>
  <c r="F9" i="4"/>
  <c r="F10" i="4"/>
  <c r="I34" i="4" l="1"/>
  <c r="E13" i="4"/>
  <c r="C8" i="5" s="1"/>
  <c r="F34" i="4"/>
  <c r="G34" i="4" s="1"/>
  <c r="F41" i="4"/>
  <c r="F43" i="4" s="1"/>
  <c r="F14" i="4"/>
  <c r="G12" i="4"/>
  <c r="F6" i="4"/>
  <c r="F13" i="4" s="1"/>
  <c r="I23" i="4"/>
  <c r="F23" i="4"/>
  <c r="G23" i="4" s="1"/>
  <c r="J23" i="4"/>
  <c r="I42" i="4"/>
  <c r="G42" i="4"/>
  <c r="J14" i="4"/>
  <c r="C10" i="5"/>
  <c r="G40" i="4"/>
  <c r="G39" i="4"/>
  <c r="G38" i="4"/>
  <c r="G37" i="4"/>
  <c r="G36" i="4"/>
  <c r="J31" i="4"/>
  <c r="G31" i="4"/>
  <c r="J30" i="4"/>
  <c r="G30" i="4"/>
  <c r="I30" i="4"/>
  <c r="G29" i="4"/>
  <c r="J21" i="4"/>
  <c r="J22" i="4"/>
  <c r="G21" i="4"/>
  <c r="I21" i="4"/>
  <c r="G11" i="4"/>
  <c r="J41" i="4"/>
  <c r="C11" i="5"/>
  <c r="J11" i="4"/>
  <c r="J20" i="4"/>
  <c r="I8" i="4"/>
  <c r="I7" i="4"/>
  <c r="I6" i="4"/>
  <c r="K48" i="4"/>
  <c r="J48" i="4" s="1"/>
  <c r="I48" i="4"/>
  <c r="F48" i="4"/>
  <c r="G48" i="4" s="1"/>
  <c r="K47" i="4"/>
  <c r="J47" i="4" s="1"/>
  <c r="I47" i="4"/>
  <c r="F47" i="4"/>
  <c r="G47" i="4" s="1"/>
  <c r="K46" i="4"/>
  <c r="J46" i="4" s="1"/>
  <c r="I46" i="4"/>
  <c r="F46" i="4"/>
  <c r="G46" i="4" s="1"/>
  <c r="K45" i="4"/>
  <c r="J45" i="4" s="1"/>
  <c r="I45" i="4"/>
  <c r="F45" i="4"/>
  <c r="G45" i="4" s="1"/>
  <c r="K44" i="4"/>
  <c r="J44" i="4" s="1"/>
  <c r="I44" i="4"/>
  <c r="F44" i="4"/>
  <c r="G44" i="4" s="1"/>
  <c r="H49" i="4"/>
  <c r="E49" i="4"/>
  <c r="J40" i="4"/>
  <c r="I40" i="4"/>
  <c r="J39" i="4"/>
  <c r="I39" i="4"/>
  <c r="J38" i="4"/>
  <c r="I38" i="4"/>
  <c r="J37" i="4"/>
  <c r="I37" i="4"/>
  <c r="J36" i="4"/>
  <c r="I36" i="4"/>
  <c r="J35" i="4"/>
  <c r="I35" i="4"/>
  <c r="I29" i="4"/>
  <c r="J28" i="4"/>
  <c r="I28" i="4"/>
  <c r="G28" i="4"/>
  <c r="J27" i="4"/>
  <c r="I27" i="4"/>
  <c r="G27" i="4"/>
  <c r="J26" i="4"/>
  <c r="I26" i="4"/>
  <c r="G26" i="4"/>
  <c r="J18" i="4"/>
  <c r="I18" i="4"/>
  <c r="G18" i="4"/>
  <c r="J17" i="4"/>
  <c r="I17" i="4"/>
  <c r="G17" i="4"/>
  <c r="G16" i="4"/>
  <c r="J15" i="4"/>
  <c r="I15" i="4"/>
  <c r="G15" i="4"/>
  <c r="J10" i="4"/>
  <c r="I10" i="4"/>
  <c r="G10" i="4"/>
  <c r="J9" i="4"/>
  <c r="I9" i="4"/>
  <c r="G9" i="4"/>
  <c r="J8" i="4"/>
  <c r="G8" i="4"/>
  <c r="J7" i="4"/>
  <c r="G7" i="4"/>
  <c r="K6" i="4"/>
  <c r="J6" i="4" s="1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72" i="3" s="1"/>
  <c r="G42" i="3"/>
  <c r="Y36" i="3"/>
  <c r="V36" i="3"/>
  <c r="Q36" i="3"/>
  <c r="Z35" i="3"/>
  <c r="AA35" i="3" s="1"/>
  <c r="W35" i="3"/>
  <c r="X35" i="3" s="1"/>
  <c r="L35" i="3"/>
  <c r="M35" i="3" s="1"/>
  <c r="L34" i="3"/>
  <c r="I34" i="3"/>
  <c r="J34" i="3" s="1"/>
  <c r="AB34" i="3" s="1"/>
  <c r="K32" i="3"/>
  <c r="K36" i="3" s="1"/>
  <c r="H32" i="3"/>
  <c r="H36" i="3" s="1"/>
  <c r="E32" i="3"/>
  <c r="E36" i="3" s="1"/>
  <c r="S30" i="3"/>
  <c r="P30" i="3"/>
  <c r="L30" i="3"/>
  <c r="M30" i="3" s="1"/>
  <c r="I30" i="3"/>
  <c r="J30" i="3" s="1"/>
  <c r="F30" i="3"/>
  <c r="G30" i="3" s="1"/>
  <c r="S31" i="3"/>
  <c r="P31" i="3"/>
  <c r="N31" i="3"/>
  <c r="L31" i="3"/>
  <c r="M31" i="3" s="1"/>
  <c r="I31" i="3"/>
  <c r="J31" i="3" s="1"/>
  <c r="F31" i="3"/>
  <c r="G31" i="3" s="1"/>
  <c r="S23" i="3"/>
  <c r="P23" i="3"/>
  <c r="N23" i="3"/>
  <c r="L23" i="3"/>
  <c r="J23" i="3"/>
  <c r="I23" i="3"/>
  <c r="G23" i="3"/>
  <c r="AB23" i="3" s="1"/>
  <c r="F23" i="3"/>
  <c r="D66" i="3" s="1"/>
  <c r="U27" i="3"/>
  <c r="U32" i="3" s="1"/>
  <c r="S27" i="3"/>
  <c r="P27" i="3"/>
  <c r="N27" i="3"/>
  <c r="L27" i="3"/>
  <c r="M27" i="3" s="1"/>
  <c r="I27" i="3"/>
  <c r="J27" i="3" s="1"/>
  <c r="F27" i="3"/>
  <c r="G27" i="3" s="1"/>
  <c r="S5" i="3"/>
  <c r="P5" i="3"/>
  <c r="N5" i="3"/>
  <c r="L5" i="3"/>
  <c r="M5" i="3" s="1"/>
  <c r="I5" i="3"/>
  <c r="J5" i="3" s="1"/>
  <c r="D56" i="3" s="1"/>
  <c r="F5" i="3"/>
  <c r="G5" i="3" s="1"/>
  <c r="S25" i="3"/>
  <c r="P25" i="3"/>
  <c r="N25" i="3"/>
  <c r="L25" i="3"/>
  <c r="M25" i="3" s="1"/>
  <c r="I25" i="3"/>
  <c r="J25" i="3" s="1"/>
  <c r="F25" i="3"/>
  <c r="G25" i="3" s="1"/>
  <c r="S26" i="3"/>
  <c r="R26" i="3"/>
  <c r="P26" i="3"/>
  <c r="N26" i="3"/>
  <c r="M26" i="3"/>
  <c r="L26" i="3"/>
  <c r="I26" i="3"/>
  <c r="J26" i="3" s="1"/>
  <c r="G26" i="3"/>
  <c r="F26" i="3"/>
  <c r="S9" i="3"/>
  <c r="P9" i="3"/>
  <c r="N9" i="3"/>
  <c r="M9" i="3"/>
  <c r="L9" i="3"/>
  <c r="J9" i="3"/>
  <c r="I9" i="3"/>
  <c r="G9" i="3"/>
  <c r="D60" i="3" s="1"/>
  <c r="F9" i="3"/>
  <c r="S16" i="3"/>
  <c r="P16" i="3"/>
  <c r="N16" i="3"/>
  <c r="L16" i="3"/>
  <c r="M16" i="3" s="1"/>
  <c r="J16" i="3"/>
  <c r="I16" i="3"/>
  <c r="F16" i="3"/>
  <c r="D64" i="3" s="1"/>
  <c r="S29" i="3"/>
  <c r="P29" i="3"/>
  <c r="N29" i="3"/>
  <c r="M29" i="3"/>
  <c r="L29" i="3"/>
  <c r="J29" i="3"/>
  <c r="I29" i="3"/>
  <c r="G29" i="3"/>
  <c r="AB29" i="3" s="1"/>
  <c r="F29" i="3"/>
  <c r="D69" i="3" s="1"/>
  <c r="S28" i="3"/>
  <c r="P28" i="3"/>
  <c r="N28" i="3"/>
  <c r="M28" i="3"/>
  <c r="L28" i="3"/>
  <c r="I28" i="3"/>
  <c r="J28" i="3" s="1"/>
  <c r="G28" i="3"/>
  <c r="F28" i="3"/>
  <c r="S17" i="3"/>
  <c r="P17" i="3"/>
  <c r="N17" i="3"/>
  <c r="M17" i="3"/>
  <c r="L17" i="3"/>
  <c r="J17" i="3"/>
  <c r="I17" i="3"/>
  <c r="G17" i="3"/>
  <c r="F17" i="3"/>
  <c r="R6" i="3"/>
  <c r="S6" i="3" s="1"/>
  <c r="P6" i="3"/>
  <c r="M6" i="3"/>
  <c r="L6" i="3"/>
  <c r="J6" i="3"/>
  <c r="D57" i="3" s="1"/>
  <c r="I6" i="3"/>
  <c r="G6" i="3"/>
  <c r="F6" i="3"/>
  <c r="S8" i="3"/>
  <c r="P8" i="3"/>
  <c r="N8" i="3"/>
  <c r="L8" i="3"/>
  <c r="M8" i="3" s="1"/>
  <c r="J8" i="3"/>
  <c r="I8" i="3"/>
  <c r="F8" i="3"/>
  <c r="G8" i="3" s="1"/>
  <c r="S11" i="3"/>
  <c r="P11" i="3"/>
  <c r="L11" i="3"/>
  <c r="M11" i="3" s="1"/>
  <c r="I11" i="3"/>
  <c r="J11" i="3" s="1"/>
  <c r="F11" i="3"/>
  <c r="G11" i="3" s="1"/>
  <c r="S15" i="3"/>
  <c r="P15" i="3"/>
  <c r="N15" i="3"/>
  <c r="L15" i="3"/>
  <c r="M15" i="3" s="1"/>
  <c r="I15" i="3"/>
  <c r="J15" i="3" s="1"/>
  <c r="F15" i="3"/>
  <c r="G15" i="3" s="1"/>
  <c r="S10" i="3"/>
  <c r="P10" i="3"/>
  <c r="N10" i="3"/>
  <c r="L10" i="3"/>
  <c r="M10" i="3" s="1"/>
  <c r="I10" i="3"/>
  <c r="J10" i="3" s="1"/>
  <c r="F10" i="3"/>
  <c r="G10" i="3" s="1"/>
  <c r="S13" i="3"/>
  <c r="P13" i="3"/>
  <c r="M13" i="3"/>
  <c r="L13" i="3"/>
  <c r="J13" i="3"/>
  <c r="I13" i="3"/>
  <c r="G13" i="3"/>
  <c r="AB13" i="3" s="1"/>
  <c r="F13" i="3"/>
  <c r="D62" i="3" s="1"/>
  <c r="S12" i="3"/>
  <c r="P12" i="3"/>
  <c r="N12" i="3"/>
  <c r="M12" i="3"/>
  <c r="L12" i="3"/>
  <c r="I12" i="3"/>
  <c r="J12" i="3" s="1"/>
  <c r="G12" i="3"/>
  <c r="F12" i="3"/>
  <c r="S7" i="3"/>
  <c r="P7" i="3"/>
  <c r="N7" i="3"/>
  <c r="M7" i="3"/>
  <c r="L7" i="3"/>
  <c r="J7" i="3"/>
  <c r="D58" i="3" s="1"/>
  <c r="I7" i="3"/>
  <c r="G7" i="3"/>
  <c r="F7" i="3"/>
  <c r="S14" i="3"/>
  <c r="P14" i="3"/>
  <c r="N14" i="3"/>
  <c r="L14" i="3"/>
  <c r="M14" i="3" s="1"/>
  <c r="J14" i="3"/>
  <c r="I14" i="3"/>
  <c r="F14" i="3"/>
  <c r="D63" i="3" s="1"/>
  <c r="S24" i="3"/>
  <c r="P24" i="3"/>
  <c r="N24" i="3"/>
  <c r="M24" i="3"/>
  <c r="L24" i="3"/>
  <c r="J24" i="3"/>
  <c r="I24" i="3"/>
  <c r="G24" i="3"/>
  <c r="AB24" i="3" s="1"/>
  <c r="F24" i="3"/>
  <c r="S22" i="3"/>
  <c r="N22" i="3"/>
  <c r="L22" i="3"/>
  <c r="M22" i="3" s="1"/>
  <c r="I22" i="3"/>
  <c r="J22" i="3" s="1"/>
  <c r="F22" i="3"/>
  <c r="G22" i="3" s="1"/>
  <c r="S21" i="3"/>
  <c r="P21" i="3"/>
  <c r="N21" i="3"/>
  <c r="L21" i="3"/>
  <c r="M21" i="3" s="1"/>
  <c r="I21" i="3"/>
  <c r="J21" i="3" s="1"/>
  <c r="F21" i="3"/>
  <c r="G21" i="3" s="1"/>
  <c r="S20" i="3"/>
  <c r="P20" i="3"/>
  <c r="N20" i="3"/>
  <c r="L20" i="3"/>
  <c r="M20" i="3" s="1"/>
  <c r="I20" i="3"/>
  <c r="J20" i="3" s="1"/>
  <c r="F20" i="3"/>
  <c r="G20" i="3" s="1"/>
  <c r="S19" i="3"/>
  <c r="P19" i="3"/>
  <c r="N19" i="3"/>
  <c r="L19" i="3"/>
  <c r="M19" i="3" s="1"/>
  <c r="I19" i="3"/>
  <c r="J19" i="3" s="1"/>
  <c r="F19" i="3"/>
  <c r="G19" i="3" s="1"/>
  <c r="S18" i="3"/>
  <c r="P18" i="3"/>
  <c r="N18" i="3"/>
  <c r="L18" i="3"/>
  <c r="M18" i="3" s="1"/>
  <c r="I18" i="3"/>
  <c r="J18" i="3" s="1"/>
  <c r="F18" i="3"/>
  <c r="G18" i="3" s="1"/>
  <c r="G6" i="4" l="1"/>
  <c r="D61" i="3"/>
  <c r="D65" i="3"/>
  <c r="N32" i="3"/>
  <c r="G14" i="3"/>
  <c r="G16" i="3"/>
  <c r="D70" i="3"/>
  <c r="F24" i="4"/>
  <c r="P32" i="3"/>
  <c r="D67" i="3"/>
  <c r="D71" i="3"/>
  <c r="D59" i="3"/>
  <c r="D68" i="3"/>
  <c r="G14" i="4"/>
  <c r="J16" i="4"/>
  <c r="I16" i="4"/>
  <c r="I19" i="4"/>
  <c r="G19" i="4"/>
  <c r="J19" i="4"/>
  <c r="I14" i="4"/>
  <c r="D11" i="5"/>
  <c r="D8" i="5"/>
  <c r="G25" i="4"/>
  <c r="J25" i="4"/>
  <c r="I25" i="4"/>
  <c r="I31" i="4"/>
  <c r="G43" i="4"/>
  <c r="I11" i="4"/>
  <c r="J29" i="4"/>
  <c r="I41" i="4"/>
  <c r="G41" i="4"/>
  <c r="D9" i="5"/>
  <c r="C9" i="5"/>
  <c r="C12" i="5" s="1"/>
  <c r="I22" i="4"/>
  <c r="G22" i="4"/>
  <c r="I20" i="4"/>
  <c r="G20" i="4"/>
  <c r="G13" i="4"/>
  <c r="F49" i="4"/>
  <c r="G35" i="4"/>
  <c r="D72" i="3"/>
  <c r="J32" i="3"/>
  <c r="S32" i="3"/>
  <c r="AB12" i="3"/>
  <c r="AB10" i="3"/>
  <c r="AB11" i="3"/>
  <c r="AB28" i="3"/>
  <c r="AB26" i="3"/>
  <c r="AB31" i="3"/>
  <c r="AB7" i="3"/>
  <c r="AB6" i="3"/>
  <c r="AB17" i="3"/>
  <c r="AB9" i="3"/>
  <c r="G39" i="3"/>
  <c r="G41" i="3" s="1"/>
  <c r="AB14" i="3"/>
  <c r="AB8" i="3"/>
  <c r="AB16" i="3"/>
  <c r="AB30" i="3"/>
  <c r="G32" i="3"/>
  <c r="AB18" i="3"/>
  <c r="AB20" i="3"/>
  <c r="AB22" i="3"/>
  <c r="AB5" i="3"/>
  <c r="AB35" i="3"/>
  <c r="AB15" i="3"/>
  <c r="M32" i="3"/>
  <c r="AB19" i="3"/>
  <c r="AB21" i="3"/>
  <c r="AB25" i="3"/>
  <c r="AB27" i="3"/>
  <c r="C16" i="5" l="1"/>
  <c r="C27" i="5" s="1"/>
  <c r="I43" i="4"/>
  <c r="I13" i="4"/>
  <c r="D10" i="5"/>
  <c r="D12" i="5" s="1"/>
  <c r="G24" i="4"/>
  <c r="I24" i="4"/>
  <c r="AB32" i="3"/>
  <c r="AB36" i="3" s="1"/>
  <c r="L51" i="4"/>
</calcChain>
</file>

<file path=xl/sharedStrings.xml><?xml version="1.0" encoding="utf-8"?>
<sst xmlns="http://schemas.openxmlformats.org/spreadsheetml/2006/main" count="291" uniqueCount="205">
  <si>
    <t>Postal Sector</t>
  </si>
  <si>
    <t>Valuation Band Range</t>
  </si>
  <si>
    <t>Intervening Bands</t>
  </si>
  <si>
    <t>Dwellings Value</t>
  </si>
  <si>
    <t>Total Number Social Housing Dwellings</t>
  </si>
  <si>
    <t>EUV-SH Values</t>
  </si>
  <si>
    <t>Market Values</t>
  </si>
  <si>
    <t>% Vacant dwellings</t>
  </si>
  <si>
    <t>% occupied dwellings</t>
  </si>
  <si>
    <t>Tenure Status</t>
  </si>
  <si>
    <t>&lt;£50,000 - £99,000</t>
  </si>
  <si>
    <t>£60,000 - £69,999</t>
  </si>
  <si>
    <t>£100,000 - £299,999</t>
  </si>
  <si>
    <t>Total</t>
  </si>
  <si>
    <t>Average</t>
  </si>
  <si>
    <t>£100,000 - £119,999</t>
  </si>
  <si>
    <t>No Void</t>
  </si>
  <si>
    <t>£120,000 - £139,999</t>
  </si>
  <si>
    <t>NE12 8**</t>
  </si>
  <si>
    <t>NE12 9**</t>
  </si>
  <si>
    <t>£140,000 - £159,999</t>
  </si>
  <si>
    <t>NE13 6**</t>
  </si>
  <si>
    <t>NE23 7**</t>
  </si>
  <si>
    <t>NE25 8**</t>
  </si>
  <si>
    <t>£160,000 - £179,999</t>
  </si>
  <si>
    <t>£180,000 - £199,999</t>
  </si>
  <si>
    <t>£90,000 - £99,999</t>
  </si>
  <si>
    <t>£80,000 - £89,999</t>
  </si>
  <si>
    <t>£70,000 - £79,999</t>
  </si>
  <si>
    <t>£240,000 - £259,999</t>
  </si>
  <si>
    <t>£300,000 - £499,999</t>
  </si>
  <si>
    <t>£450,000 - £499,999</t>
  </si>
  <si>
    <t>NE27 0**</t>
  </si>
  <si>
    <t>NE28 0**</t>
  </si>
  <si>
    <t>NE28 6**</t>
  </si>
  <si>
    <t>NE28 7**</t>
  </si>
  <si>
    <t>NE28 9**</t>
  </si>
  <si>
    <t>NE29 0**</t>
  </si>
  <si>
    <t>NE29 6**</t>
  </si>
  <si>
    <t>NE29 8**</t>
  </si>
  <si>
    <t>NE29 9**</t>
  </si>
  <si>
    <t>NE30 3**</t>
  </si>
  <si>
    <t>NE30 4**</t>
  </si>
  <si>
    <t>£220,000 - £239,999</t>
  </si>
  <si>
    <t>NE7 7**</t>
  </si>
  <si>
    <t>Totals</t>
  </si>
  <si>
    <t>Summary Sheet</t>
  </si>
  <si>
    <t>Post Code</t>
  </si>
  <si>
    <t>No`s</t>
  </si>
  <si>
    <t>Sheltered</t>
  </si>
  <si>
    <t>As At</t>
  </si>
  <si>
    <t>NAME</t>
  </si>
  <si>
    <t>LOCALITY</t>
  </si>
  <si>
    <t>No of Bedsits</t>
  </si>
  <si>
    <t>Value per Bedsit</t>
  </si>
  <si>
    <t>Subtotal</t>
  </si>
  <si>
    <t>1 Bed Flats</t>
  </si>
  <si>
    <t>Value per flat</t>
  </si>
  <si>
    <t>subtotal</t>
  </si>
  <si>
    <t>2 Bed Flats</t>
  </si>
  <si>
    <t>Value of Guest</t>
  </si>
  <si>
    <t>Beds in Warden Acc</t>
  </si>
  <si>
    <t>Value of Warden Acc</t>
  </si>
  <si>
    <t>Res. Bungalow</t>
  </si>
  <si>
    <t>Value Bungalow</t>
  </si>
  <si>
    <t>RWF</t>
  </si>
  <si>
    <t>3 bed house</t>
  </si>
  <si>
    <t>Value</t>
  </si>
  <si>
    <t>Sub-Total</t>
  </si>
  <si>
    <t>4 bed flat</t>
  </si>
  <si>
    <t>Building Value</t>
  </si>
  <si>
    <t>Bawtry Court</t>
  </si>
  <si>
    <t>Battle Hill</t>
  </si>
  <si>
    <t>Flat            3</t>
  </si>
  <si>
    <t>Beadnell Court</t>
  </si>
  <si>
    <t>Flat            2</t>
  </si>
  <si>
    <t>Bisley Court</t>
  </si>
  <si>
    <t>Bonchester Court</t>
  </si>
  <si>
    <t>Broadway Court</t>
  </si>
  <si>
    <t>Carlton Court</t>
  </si>
  <si>
    <t>North Shields</t>
  </si>
  <si>
    <t>House       3</t>
  </si>
  <si>
    <t>Carville House</t>
  </si>
  <si>
    <t>Wallsend</t>
  </si>
  <si>
    <t>House        3</t>
  </si>
  <si>
    <t>Chapelville</t>
  </si>
  <si>
    <t>Seaton Burn</t>
  </si>
  <si>
    <t>Cheviot View</t>
  </si>
  <si>
    <t>West Allotment</t>
  </si>
  <si>
    <t>Crummock Court</t>
  </si>
  <si>
    <t>Howdon</t>
  </si>
  <si>
    <t>Eccles Court</t>
  </si>
  <si>
    <t>Backworth</t>
  </si>
  <si>
    <t>Eldon Court</t>
  </si>
  <si>
    <t>Willington Quay</t>
  </si>
  <si>
    <t>Emmerson Place</t>
  </si>
  <si>
    <t>Shiremoor</t>
  </si>
  <si>
    <t>Bungalow   3</t>
  </si>
  <si>
    <t>Annitsford</t>
  </si>
  <si>
    <t>Feetham Court</t>
  </si>
  <si>
    <t>Palmersville</t>
  </si>
  <si>
    <t>Ferndene</t>
  </si>
  <si>
    <t>Rosehill</t>
  </si>
  <si>
    <t>Phoenix House</t>
  </si>
  <si>
    <t>New York</t>
  </si>
  <si>
    <t>Preston Court</t>
  </si>
  <si>
    <t>Rosebank Hall</t>
  </si>
  <si>
    <t>Roseberry Court</t>
  </si>
  <si>
    <t>Whitley Bay</t>
  </si>
  <si>
    <t>Rudyerd Court</t>
  </si>
  <si>
    <t>Skipsey Court</t>
  </si>
  <si>
    <t>Southgate Court</t>
  </si>
  <si>
    <t>Longbenton</t>
  </si>
  <si>
    <t>Tamar Court</t>
  </si>
  <si>
    <t>bedsit</t>
  </si>
  <si>
    <t>The Orchard</t>
  </si>
  <si>
    <t>Victoria Court</t>
  </si>
  <si>
    <t>Cullercoats</t>
  </si>
  <si>
    <t>Wallington Court</t>
  </si>
  <si>
    <t>House       2</t>
  </si>
  <si>
    <t>Homeless/YPS Units</t>
  </si>
  <si>
    <t>Purley Close DAU</t>
  </si>
  <si>
    <t>Alexandra Street DAU</t>
  </si>
  <si>
    <t xml:space="preserve">Bedsits </t>
  </si>
  <si>
    <t>Flats</t>
  </si>
  <si>
    <t>Stock Numbers</t>
  </si>
  <si>
    <t>Flats (1 bed)</t>
  </si>
  <si>
    <t>Bung</t>
  </si>
  <si>
    <t>All</t>
  </si>
  <si>
    <t>Flats (2 bed)</t>
  </si>
  <si>
    <t xml:space="preserve"> Houses</t>
  </si>
  <si>
    <t>Flats (4 bed)</t>
  </si>
  <si>
    <t>Split Between</t>
  </si>
  <si>
    <t>Guest Bedroom</t>
  </si>
  <si>
    <t>Homeless</t>
  </si>
  <si>
    <t>1 Bed Caretakers Flat</t>
  </si>
  <si>
    <t>2 Bed Caretakers Flat</t>
  </si>
  <si>
    <t>3 Bed Caretakers Flat</t>
  </si>
  <si>
    <t>2 Bed Caretakers Bungalows</t>
  </si>
  <si>
    <t>3 Bed Caretakers Bungalows</t>
  </si>
  <si>
    <t>2 Bed Caretakers House</t>
  </si>
  <si>
    <t>3 Bed Caretakers House</t>
  </si>
  <si>
    <t>3 bed houses</t>
  </si>
  <si>
    <t>Increase in Purley 2.18%</t>
  </si>
  <si>
    <t>NE29 9PQ</t>
  </si>
  <si>
    <t>NE29 8SU</t>
  </si>
  <si>
    <t>NE29 6RR</t>
  </si>
  <si>
    <t>NE29 6JR</t>
  </si>
  <si>
    <t>NE29 8QR</t>
  </si>
  <si>
    <t>NE27 0NQ</t>
  </si>
  <si>
    <t>NE25 8JD</t>
  </si>
  <si>
    <t>NE30 4QR</t>
  </si>
  <si>
    <t>NE30 3SQ</t>
  </si>
  <si>
    <t>NE12 9QJ</t>
  </si>
  <si>
    <t>Fernlea</t>
  </si>
  <si>
    <t>NE27 0JU</t>
  </si>
  <si>
    <t>NE28 0NL</t>
  </si>
  <si>
    <t>NE27 0RA</t>
  </si>
  <si>
    <t>Dispersed</t>
  </si>
  <si>
    <t>YPS</t>
  </si>
  <si>
    <t>NE28 9AT</t>
  </si>
  <si>
    <t>NE28 9EB</t>
  </si>
  <si>
    <t>NE28 9RN</t>
  </si>
  <si>
    <t>NE28 9SB</t>
  </si>
  <si>
    <t>NE28 6DX</t>
  </si>
  <si>
    <t>NE12 8UW</t>
  </si>
  <si>
    <t>NE29 0HB</t>
  </si>
  <si>
    <t>NE28 7BT</t>
  </si>
  <si>
    <t>NE28 7HT</t>
  </si>
  <si>
    <t>NE23 7DW</t>
  </si>
  <si>
    <t>NE28 6SF</t>
  </si>
  <si>
    <t>NE13 6EB</t>
  </si>
  <si>
    <t>NE28 9XW</t>
  </si>
  <si>
    <t>NE29 0LB</t>
  </si>
  <si>
    <t>NE28 0QB</t>
  </si>
  <si>
    <t>Nos</t>
  </si>
  <si>
    <t>Values</t>
  </si>
  <si>
    <t>&lt; £50,000</t>
  </si>
  <si>
    <t>50,000 - 59999</t>
  </si>
  <si>
    <t>60,000 - 69,999</t>
  </si>
  <si>
    <t>NE12 ***</t>
  </si>
  <si>
    <t>NE28 ***</t>
  </si>
  <si>
    <t>NE29 ***</t>
  </si>
  <si>
    <t xml:space="preserve">NE07 *** NE13 *** NE23 *** NE25 *** NE26 *** NE27 ***  NE30 ***  </t>
  </si>
  <si>
    <t>Various</t>
  </si>
  <si>
    <t>&lt;£50,000 - £159,999</t>
  </si>
  <si>
    <t>NE13,NE23,NE25,NE26,NE27 ***,</t>
  </si>
  <si>
    <t>General Stock Totals</t>
  </si>
  <si>
    <t>£100,000 - £999,999</t>
  </si>
  <si>
    <t>&lt; £69,999</t>
  </si>
  <si>
    <t>&lt; £59,999</t>
  </si>
  <si>
    <t>Valuations of a Registered Social housing provider housing stock for secured lending purposes shall be  on the basis of either,</t>
  </si>
  <si>
    <t>Market Value or Existing user value for social housing  (EUV- SH)</t>
  </si>
  <si>
    <t>Market value - This is the estimated value that the dwelling would be worth on the open market</t>
  </si>
  <si>
    <t>Difference</t>
  </si>
  <si>
    <t>Less awaiting disposal</t>
  </si>
  <si>
    <t>General Stock</t>
  </si>
  <si>
    <t>Affordable</t>
  </si>
  <si>
    <t>Capital asset Totals</t>
  </si>
  <si>
    <t>£200,000 - £999,999</t>
  </si>
  <si>
    <t>Existing User value for social Housing (EUV-SH) - Market Valuation discounted to account for the dwellling would remain at existing use. Eg tenanted social rented accommodation</t>
  </si>
  <si>
    <t>HMO</t>
  </si>
  <si>
    <t>&lt;£59,999</t>
  </si>
  <si>
    <t>£140,000 - £219,999</t>
  </si>
  <si>
    <t>Social Housing Asset data 2018 (Excludes Sheltered PFI schemes and dwellings awaiting disposal)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</si>
</sst>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&quot;£&quot;* #,##0_-;\-&quot;£&quot;* #,##0_-;_-&quot;£&quot;* &quot;-&quot;_-;_-@_-"/>
    <numFmt numFmtId="164" formatCode="&quot;£&quot;#,##0"/>
    <numFmt numFmtId="165" formatCode="#,##0_ ;\-#,##0\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top" wrapText="1"/>
    </xf>
    <xf numFmtId="164" fontId="0" fillId="0" borderId="0" xfId="0" applyNumberFormat="1"/>
    <xf numFmtId="0" fontId="0" fillId="0" borderId="0" xfId="0" applyFont="1" applyBorder="1" applyAlignment="1">
      <alignment horizontal="center" wrapText="1"/>
    </xf>
    <xf numFmtId="3" fontId="0" fillId="0" borderId="0" xfId="0" applyNumberFormat="1"/>
    <xf numFmtId="2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3" fontId="0" fillId="0" borderId="1" xfId="0" applyNumberFormat="1" applyBorder="1"/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164" fontId="1" fillId="0" borderId="1" xfId="0" applyNumberFormat="1" applyFont="1" applyBorder="1"/>
    <xf numFmtId="2" fontId="1" fillId="0" borderId="1" xfId="0" applyNumberFormat="1" applyFont="1" applyBorder="1"/>
    <xf numFmtId="0" fontId="1" fillId="0" borderId="0" xfId="0" applyFont="1"/>
    <xf numFmtId="3" fontId="1" fillId="0" borderId="1" xfId="0" applyNumberFormat="1" applyFont="1" applyBorder="1"/>
    <xf numFmtId="0" fontId="2" fillId="0" borderId="0" xfId="0" applyFont="1"/>
    <xf numFmtId="0" fontId="0" fillId="2" borderId="2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0" fontId="3" fillId="3" borderId="0" xfId="0" applyFont="1" applyFill="1" applyBorder="1"/>
    <xf numFmtId="0" fontId="3" fillId="0" borderId="0" xfId="0" applyFont="1" applyBorder="1"/>
    <xf numFmtId="0" fontId="3" fillId="3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4" borderId="0" xfId="0" applyFont="1" applyFill="1"/>
    <xf numFmtId="0" fontId="4" fillId="0" borderId="0" xfId="0" applyFont="1"/>
    <xf numFmtId="0" fontId="0" fillId="0" borderId="0" xfId="0" applyAlignment="1"/>
    <xf numFmtId="0" fontId="0" fillId="3" borderId="0" xfId="0" applyFill="1" applyBorder="1"/>
    <xf numFmtId="0" fontId="0" fillId="0" borderId="0" xfId="0" applyBorder="1"/>
    <xf numFmtId="0" fontId="0" fillId="3" borderId="0" xfId="0" applyFill="1" applyAlignment="1">
      <alignment wrapText="1"/>
    </xf>
    <xf numFmtId="0" fontId="0" fillId="0" borderId="0" xfId="0" applyFill="1" applyAlignment="1">
      <alignment wrapText="1"/>
    </xf>
    <xf numFmtId="0" fontId="0" fillId="4" borderId="0" xfId="0" applyFill="1"/>
    <xf numFmtId="42" fontId="0" fillId="3" borderId="0" xfId="0" applyNumberFormat="1" applyFill="1" applyBorder="1"/>
    <xf numFmtId="42" fontId="0" fillId="3" borderId="0" xfId="0" applyNumberFormat="1" applyFill="1"/>
    <xf numFmtId="164" fontId="0" fillId="3" borderId="0" xfId="0" applyNumberFormat="1" applyFill="1" applyBorder="1"/>
    <xf numFmtId="164" fontId="0" fillId="3" borderId="0" xfId="0" applyNumberFormat="1" applyFill="1"/>
    <xf numFmtId="42" fontId="0" fillId="0" borderId="0" xfId="0" applyNumberFormat="1" applyBorder="1"/>
    <xf numFmtId="42" fontId="0" fillId="0" borderId="0" xfId="0" applyNumberFormat="1" applyFill="1" applyBorder="1"/>
    <xf numFmtId="42" fontId="0" fillId="4" borderId="0" xfId="0" applyNumberFormat="1" applyFill="1"/>
    <xf numFmtId="0" fontId="0" fillId="0" borderId="0" xfId="0" applyFill="1"/>
    <xf numFmtId="0" fontId="0" fillId="0" borderId="0" xfId="0" applyNumberFormat="1" applyBorder="1"/>
    <xf numFmtId="164" fontId="0" fillId="0" borderId="0" xfId="0" applyNumberFormat="1" applyFill="1"/>
    <xf numFmtId="0" fontId="0" fillId="0" borderId="6" xfId="0" applyBorder="1"/>
    <xf numFmtId="0" fontId="0" fillId="0" borderId="6" xfId="0" applyFill="1" applyBorder="1"/>
    <xf numFmtId="0" fontId="0" fillId="3" borderId="0" xfId="0" applyNumberFormat="1" applyFill="1" applyBorder="1"/>
    <xf numFmtId="42" fontId="3" fillId="0" borderId="0" xfId="0" applyNumberFormat="1" applyFont="1"/>
    <xf numFmtId="0" fontId="5" fillId="0" borderId="0" xfId="0" applyFont="1"/>
    <xf numFmtId="14" fontId="0" fillId="0" borderId="0" xfId="0" applyNumberFormat="1"/>
    <xf numFmtId="0" fontId="0" fillId="0" borderId="0" xfId="0" applyAlignment="1">
      <alignment horizontal="right"/>
    </xf>
    <xf numFmtId="165" fontId="0" fillId="0" borderId="0" xfId="0" applyNumberFormat="1"/>
    <xf numFmtId="42" fontId="0" fillId="0" borderId="0" xfId="0" applyNumberFormat="1"/>
    <xf numFmtId="0" fontId="0" fillId="0" borderId="0" xfId="0" applyAlignment="1">
      <alignment horizontal="center"/>
    </xf>
    <xf numFmtId="165" fontId="0" fillId="0" borderId="0" xfId="0" applyNumberFormat="1" applyAlignment="1"/>
    <xf numFmtId="3" fontId="1" fillId="0" borderId="0" xfId="0" applyNumberFormat="1" applyFont="1"/>
    <xf numFmtId="164" fontId="5" fillId="0" borderId="0" xfId="0" applyNumberFormat="1" applyFont="1"/>
    <xf numFmtId="0" fontId="0" fillId="0" borderId="1" xfId="0" applyFill="1" applyBorder="1"/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" fillId="0" borderId="5" xfId="0" applyFont="1" applyBorder="1" applyAlignment="1">
      <alignment vertical="top" wrapText="1"/>
    </xf>
    <xf numFmtId="164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64" fontId="1" fillId="0" borderId="0" xfId="0" applyNumberFormat="1" applyFont="1"/>
    <xf numFmtId="0" fontId="0" fillId="0" borderId="5" xfId="0" applyBorder="1" applyAlignment="1">
      <alignment wrapText="1"/>
    </xf>
    <xf numFmtId="0" fontId="0" fillId="0" borderId="6" xfId="0" applyBorder="1" applyAlignment="1"/>
    <xf numFmtId="0" fontId="0" fillId="0" borderId="7" xfId="0" applyBorder="1" applyAlignment="1"/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7"/>
  <sheetViews>
    <sheetView tabSelected="1" workbookViewId="0">
      <selection activeCell="E14" sqref="E14"/>
    </sheetView>
  </sheetViews>
  <sheetFormatPr defaultRowHeight="15" x14ac:dyDescent="0.25"/>
  <cols>
    <col min="1" max="1" width="2.42578125" customWidth="1"/>
    <col min="2" max="2" width="12.42578125" customWidth="1"/>
    <col min="3" max="3" width="17.42578125" customWidth="1"/>
    <col min="4" max="4" width="18.42578125" customWidth="1"/>
    <col min="5" max="5" width="13.28515625" bestFit="1" customWidth="1"/>
    <col min="6" max="6" width="14" style="5" customWidth="1"/>
    <col min="7" max="7" width="9.7109375" style="5" customWidth="1"/>
    <col min="8" max="8" width="12.140625" style="5" bestFit="1" customWidth="1"/>
    <col min="9" max="9" width="8.42578125" style="5" bestFit="1" customWidth="1"/>
    <col min="10" max="10" width="10.5703125" bestFit="1" customWidth="1"/>
    <col min="11" max="11" width="9.5703125" customWidth="1"/>
    <col min="12" max="12" width="9.28515625" hidden="1" customWidth="1"/>
    <col min="13" max="13" width="9.140625" customWidth="1"/>
  </cols>
  <sheetData>
    <row r="1" spans="2:12" ht="14.45" x14ac:dyDescent="0.3">
      <c r="B1" s="16" t="s">
        <v>204</v>
      </c>
    </row>
    <row r="3" spans="2:12" s="3" customFormat="1" ht="28.9" x14ac:dyDescent="0.3">
      <c r="B3" s="68" t="s">
        <v>0</v>
      </c>
      <c r="C3" s="68" t="s">
        <v>1</v>
      </c>
      <c r="D3" s="4" t="s">
        <v>2</v>
      </c>
      <c r="E3" s="73" t="s">
        <v>3</v>
      </c>
      <c r="F3" s="74"/>
      <c r="G3" s="74"/>
      <c r="H3" s="74"/>
      <c r="I3" s="75"/>
      <c r="J3" s="73" t="s">
        <v>9</v>
      </c>
      <c r="K3" s="75"/>
    </row>
    <row r="4" spans="2:12" s="1" customFormat="1" ht="50.25" customHeight="1" x14ac:dyDescent="0.3">
      <c r="B4" s="19"/>
      <c r="C4" s="20"/>
      <c r="D4" s="21"/>
      <c r="E4" s="65" t="s">
        <v>4</v>
      </c>
      <c r="F4" s="76" t="s">
        <v>5</v>
      </c>
      <c r="G4" s="76"/>
      <c r="H4" s="76" t="s">
        <v>6</v>
      </c>
      <c r="I4" s="76"/>
      <c r="J4" s="65" t="s">
        <v>8</v>
      </c>
      <c r="K4" s="65" t="s">
        <v>7</v>
      </c>
      <c r="L4" s="6" t="s">
        <v>16</v>
      </c>
    </row>
    <row r="5" spans="2:12" s="1" customFormat="1" ht="16.5" customHeight="1" x14ac:dyDescent="0.3">
      <c r="B5" s="2"/>
      <c r="C5" s="2"/>
      <c r="D5" s="2"/>
      <c r="E5" s="2"/>
      <c r="F5" s="66" t="s">
        <v>13</v>
      </c>
      <c r="G5" s="66" t="s">
        <v>14</v>
      </c>
      <c r="H5" s="66" t="s">
        <v>13</v>
      </c>
      <c r="I5" s="67" t="s">
        <v>14</v>
      </c>
      <c r="J5" s="8"/>
      <c r="K5" s="2"/>
    </row>
    <row r="6" spans="2:12" x14ac:dyDescent="0.25">
      <c r="B6" s="9" t="s">
        <v>180</v>
      </c>
      <c r="C6" s="9" t="s">
        <v>10</v>
      </c>
      <c r="D6" s="9" t="s">
        <v>189</v>
      </c>
      <c r="E6" s="9">
        <f>8+2</f>
        <v>10</v>
      </c>
      <c r="F6" s="10">
        <f>H6*44%</f>
        <v>244818.64</v>
      </c>
      <c r="G6" s="10">
        <f t="shared" ref="G6:G8" si="0">IFERROR(F6/E6,0)</f>
        <v>24481.864000000001</v>
      </c>
      <c r="H6" s="10">
        <f>416760+139646</f>
        <v>556406</v>
      </c>
      <c r="I6" s="10">
        <f t="shared" ref="I6:I8" si="1">IFERROR(H6/E6,0)</f>
        <v>55640.6</v>
      </c>
      <c r="J6" s="8">
        <f t="shared" ref="J6:J42" si="2">IFERROR(100-K6,0)</f>
        <v>100</v>
      </c>
      <c r="K6" s="8">
        <f>IFERROR(L6/E6%,0)</f>
        <v>0</v>
      </c>
      <c r="L6">
        <v>0</v>
      </c>
    </row>
    <row r="7" spans="2:12" x14ac:dyDescent="0.25">
      <c r="B7" s="9"/>
      <c r="C7" s="9"/>
      <c r="D7" s="9" t="s">
        <v>28</v>
      </c>
      <c r="E7" s="9">
        <v>971</v>
      </c>
      <c r="F7" s="10">
        <f t="shared" ref="F7:F41" si="3">H7*44%</f>
        <v>33682462</v>
      </c>
      <c r="G7" s="10">
        <f t="shared" si="0"/>
        <v>34688.426364572602</v>
      </c>
      <c r="H7" s="10">
        <v>76551050</v>
      </c>
      <c r="I7" s="10">
        <f t="shared" si="1"/>
        <v>78837.332646755924</v>
      </c>
      <c r="J7" s="8">
        <f t="shared" si="2"/>
        <v>98.558187435633371</v>
      </c>
      <c r="K7" s="8">
        <f t="shared" ref="K7:K42" si="4">IFERROR(L7/E7%,0)</f>
        <v>1.4418125643666322</v>
      </c>
      <c r="L7">
        <v>14</v>
      </c>
    </row>
    <row r="8" spans="2:12" x14ac:dyDescent="0.25">
      <c r="B8" s="9"/>
      <c r="C8" s="9"/>
      <c r="D8" s="9" t="s">
        <v>27</v>
      </c>
      <c r="E8" s="9">
        <v>344</v>
      </c>
      <c r="F8" s="10">
        <f t="shared" si="3"/>
        <v>13024196.68</v>
      </c>
      <c r="G8" s="10">
        <f t="shared" si="0"/>
        <v>37861.036860465116</v>
      </c>
      <c r="H8" s="10">
        <v>29600447</v>
      </c>
      <c r="I8" s="10">
        <f t="shared" si="1"/>
        <v>86047.811046511633</v>
      </c>
      <c r="J8" s="8">
        <f t="shared" si="2"/>
        <v>99.418604651162795</v>
      </c>
      <c r="K8" s="8">
        <f t="shared" si="4"/>
        <v>0.58139534883720934</v>
      </c>
      <c r="L8">
        <v>2</v>
      </c>
    </row>
    <row r="9" spans="2:12" x14ac:dyDescent="0.25">
      <c r="B9" s="9"/>
      <c r="C9" s="9"/>
      <c r="D9" s="9" t="s">
        <v>26</v>
      </c>
      <c r="E9" s="9">
        <v>593</v>
      </c>
      <c r="F9" s="10">
        <f t="shared" si="3"/>
        <v>25030286.600000001</v>
      </c>
      <c r="G9" s="10">
        <f t="shared" ref="G9:G17" si="5">IFERROR(F9/E9,0)</f>
        <v>42209.589544688031</v>
      </c>
      <c r="H9" s="10">
        <v>56887015</v>
      </c>
      <c r="I9" s="10">
        <f t="shared" ref="I9:I17" si="6">IFERROR(H9/E9,0)</f>
        <v>95930.885328836419</v>
      </c>
      <c r="J9" s="8">
        <f t="shared" si="2"/>
        <v>98.650927487352448</v>
      </c>
      <c r="K9" s="8">
        <f t="shared" si="4"/>
        <v>1.3490725126475549</v>
      </c>
      <c r="L9">
        <v>8</v>
      </c>
    </row>
    <row r="10" spans="2:12" x14ac:dyDescent="0.25">
      <c r="B10" s="9"/>
      <c r="C10" s="9" t="s">
        <v>12</v>
      </c>
      <c r="D10" s="9" t="s">
        <v>15</v>
      </c>
      <c r="E10" s="9">
        <v>583</v>
      </c>
      <c r="F10" s="10">
        <f t="shared" si="3"/>
        <v>29097844.600000001</v>
      </c>
      <c r="G10" s="10">
        <f t="shared" si="5"/>
        <v>49910.539622641511</v>
      </c>
      <c r="H10" s="10">
        <v>66131465</v>
      </c>
      <c r="I10" s="10">
        <f t="shared" si="6"/>
        <v>113433.04459691253</v>
      </c>
      <c r="J10" s="8">
        <f t="shared" si="2"/>
        <v>99.485420240137216</v>
      </c>
      <c r="K10" s="8">
        <f t="shared" si="4"/>
        <v>0.51457975986277871</v>
      </c>
      <c r="L10">
        <v>3</v>
      </c>
    </row>
    <row r="11" spans="2:12" x14ac:dyDescent="0.25">
      <c r="B11" s="9"/>
      <c r="C11" s="9"/>
      <c r="D11" s="9" t="s">
        <v>17</v>
      </c>
      <c r="E11" s="9">
        <f>353-1</f>
        <v>352</v>
      </c>
      <c r="F11" s="10">
        <f t="shared" si="3"/>
        <v>19889246.52</v>
      </c>
      <c r="G11" s="10">
        <f t="shared" si="5"/>
        <v>56503.541250000002</v>
      </c>
      <c r="H11" s="10">
        <f>45326105-123272</f>
        <v>45202833</v>
      </c>
      <c r="I11" s="10">
        <f t="shared" si="6"/>
        <v>128417.13920454546</v>
      </c>
      <c r="J11" s="8">
        <f t="shared" si="2"/>
        <v>99.715909090909093</v>
      </c>
      <c r="K11" s="8">
        <f t="shared" si="4"/>
        <v>0.28409090909090912</v>
      </c>
      <c r="L11">
        <v>1</v>
      </c>
    </row>
    <row r="12" spans="2:12" x14ac:dyDescent="0.25">
      <c r="B12" s="9"/>
      <c r="C12" s="9"/>
      <c r="D12" s="9" t="s">
        <v>20</v>
      </c>
      <c r="E12" s="9">
        <v>50</v>
      </c>
      <c r="F12" s="10">
        <f t="shared" si="3"/>
        <v>3158790.36</v>
      </c>
      <c r="G12" s="10">
        <f t="shared" si="5"/>
        <v>63175.807199999996</v>
      </c>
      <c r="H12" s="10">
        <v>7179069</v>
      </c>
      <c r="I12" s="10">
        <f t="shared" si="6"/>
        <v>143581.38</v>
      </c>
      <c r="J12" s="8">
        <f t="shared" ref="J12" si="7">IFERROR(100-K12,0)</f>
        <v>96</v>
      </c>
      <c r="K12" s="8">
        <f t="shared" si="4"/>
        <v>4</v>
      </c>
      <c r="L12">
        <v>2</v>
      </c>
    </row>
    <row r="13" spans="2:12" s="16" customFormat="1" ht="14.45" x14ac:dyDescent="0.3">
      <c r="B13" s="13"/>
      <c r="C13" s="12" t="s">
        <v>180</v>
      </c>
      <c r="D13" s="12" t="s">
        <v>45</v>
      </c>
      <c r="E13" s="13">
        <f>SUM(E6:E12)</f>
        <v>2903</v>
      </c>
      <c r="F13" s="14">
        <f>SUM(F6:F12)</f>
        <v>124127645.40000001</v>
      </c>
      <c r="G13" s="10">
        <f t="shared" si="5"/>
        <v>42758.403513606616</v>
      </c>
      <c r="H13" s="14">
        <f>SUM(H6:H12)</f>
        <v>282108285</v>
      </c>
      <c r="I13" s="10">
        <f t="shared" si="6"/>
        <v>97178.189803651389</v>
      </c>
      <c r="J13" s="15"/>
      <c r="K13" s="15"/>
      <c r="L13" s="16">
        <f>SUM(L6:L12)</f>
        <v>30</v>
      </c>
    </row>
    <row r="14" spans="2:12" x14ac:dyDescent="0.25">
      <c r="B14" s="70" t="s">
        <v>183</v>
      </c>
      <c r="C14" s="9" t="s">
        <v>10</v>
      </c>
      <c r="D14" s="9" t="s">
        <v>189</v>
      </c>
      <c r="E14" s="9">
        <f>1+82</f>
        <v>83</v>
      </c>
      <c r="F14" s="10">
        <f t="shared" si="3"/>
        <v>2282573.04</v>
      </c>
      <c r="G14" s="10">
        <f t="shared" si="5"/>
        <v>27500.880000000001</v>
      </c>
      <c r="H14" s="10">
        <f>36000+5151666</f>
        <v>5187666</v>
      </c>
      <c r="I14" s="10">
        <f t="shared" si="6"/>
        <v>62502</v>
      </c>
      <c r="J14" s="8">
        <f>IFERROR(100-K14,0)</f>
        <v>96.385542168674704</v>
      </c>
      <c r="K14" s="8">
        <f t="shared" si="4"/>
        <v>3.6144578313253013</v>
      </c>
      <c r="L14">
        <v>3</v>
      </c>
    </row>
    <row r="15" spans="2:12" x14ac:dyDescent="0.25">
      <c r="B15" s="71"/>
      <c r="C15" s="9"/>
      <c r="D15" s="9" t="s">
        <v>28</v>
      </c>
      <c r="E15" s="9">
        <v>451</v>
      </c>
      <c r="F15" s="10">
        <f t="shared" si="3"/>
        <v>15037547.800000001</v>
      </c>
      <c r="G15" s="10">
        <f t="shared" si="5"/>
        <v>33342.678048780486</v>
      </c>
      <c r="H15" s="10">
        <v>34176245</v>
      </c>
      <c r="I15" s="10">
        <f t="shared" si="6"/>
        <v>75778.813747228385</v>
      </c>
      <c r="J15" s="8">
        <f>IFERROR(100-K15,0)</f>
        <v>98.004434589800439</v>
      </c>
      <c r="K15" s="8">
        <f t="shared" si="4"/>
        <v>1.9955654101995566</v>
      </c>
      <c r="L15">
        <v>9</v>
      </c>
    </row>
    <row r="16" spans="2:12" x14ac:dyDescent="0.25">
      <c r="B16" s="71"/>
      <c r="C16" s="9"/>
      <c r="D16" s="9" t="s">
        <v>27</v>
      </c>
      <c r="E16" s="9">
        <v>592</v>
      </c>
      <c r="F16" s="10">
        <f t="shared" si="3"/>
        <v>22522688.32</v>
      </c>
      <c r="G16" s="10">
        <f t="shared" si="5"/>
        <v>38045.081621621619</v>
      </c>
      <c r="H16" s="10">
        <v>51187928</v>
      </c>
      <c r="I16" s="10">
        <f t="shared" si="6"/>
        <v>86466.0945945946</v>
      </c>
      <c r="J16" s="8">
        <f>IFERROR(100-K16,0)</f>
        <v>98.986486486486484</v>
      </c>
      <c r="K16" s="8">
        <f t="shared" si="4"/>
        <v>1.0135135135135136</v>
      </c>
      <c r="L16">
        <v>6</v>
      </c>
    </row>
    <row r="17" spans="2:12" ht="15" customHeight="1" x14ac:dyDescent="0.25">
      <c r="B17" s="71"/>
      <c r="C17" s="9"/>
      <c r="D17" s="9" t="s">
        <v>26</v>
      </c>
      <c r="E17" s="9">
        <v>985</v>
      </c>
      <c r="F17" s="10">
        <f t="shared" si="3"/>
        <v>40991782.039999999</v>
      </c>
      <c r="G17" s="10">
        <f t="shared" si="5"/>
        <v>41616.022375634515</v>
      </c>
      <c r="H17" s="10">
        <v>93163141</v>
      </c>
      <c r="I17" s="10">
        <f t="shared" si="6"/>
        <v>94581.869035532989</v>
      </c>
      <c r="J17" s="8">
        <f>IFERROR(100-K17,0)</f>
        <v>98.883248730964468</v>
      </c>
      <c r="K17" s="8">
        <f t="shared" si="4"/>
        <v>1.116751269035533</v>
      </c>
      <c r="L17">
        <v>11</v>
      </c>
    </row>
    <row r="18" spans="2:12" x14ac:dyDescent="0.25">
      <c r="B18" s="71"/>
      <c r="C18" s="9" t="s">
        <v>188</v>
      </c>
      <c r="D18" s="9" t="s">
        <v>15</v>
      </c>
      <c r="E18" s="9">
        <v>612</v>
      </c>
      <c r="F18" s="10">
        <f t="shared" si="3"/>
        <v>29214082.48</v>
      </c>
      <c r="G18" s="10">
        <f t="shared" ref="G18:G43" si="8">IFERROR(F18/E18,0)</f>
        <v>47735.428888888891</v>
      </c>
      <c r="H18" s="10">
        <v>66395642</v>
      </c>
      <c r="I18" s="10">
        <f t="shared" ref="I18:I24" si="9">IFERROR(H18/E18,0)</f>
        <v>108489.61111111111</v>
      </c>
      <c r="J18" s="8">
        <f t="shared" si="2"/>
        <v>99.509803921568633</v>
      </c>
      <c r="K18" s="8">
        <f t="shared" si="4"/>
        <v>0.49019607843137253</v>
      </c>
      <c r="L18">
        <v>3</v>
      </c>
    </row>
    <row r="19" spans="2:12" x14ac:dyDescent="0.25">
      <c r="B19" s="71"/>
      <c r="C19" s="9"/>
      <c r="D19" s="9" t="s">
        <v>17</v>
      </c>
      <c r="E19" s="9">
        <v>145</v>
      </c>
      <c r="F19" s="10">
        <f t="shared" si="3"/>
        <v>8422227.4399999995</v>
      </c>
      <c r="G19" s="10">
        <f t="shared" si="8"/>
        <v>58084.327172413789</v>
      </c>
      <c r="H19" s="10">
        <v>19141426</v>
      </c>
      <c r="I19" s="10">
        <f t="shared" si="9"/>
        <v>132009.83448275863</v>
      </c>
      <c r="J19" s="8">
        <f t="shared" si="2"/>
        <v>98.620689655172413</v>
      </c>
      <c r="K19" s="8">
        <f t="shared" si="4"/>
        <v>1.3793103448275863</v>
      </c>
      <c r="L19">
        <v>2</v>
      </c>
    </row>
    <row r="20" spans="2:12" ht="15" customHeight="1" x14ac:dyDescent="0.25">
      <c r="B20" s="72"/>
      <c r="C20" s="9"/>
      <c r="D20" s="9" t="s">
        <v>20</v>
      </c>
      <c r="E20" s="9">
        <v>322</v>
      </c>
      <c r="F20" s="10">
        <f t="shared" si="3"/>
        <v>21392280.800000001</v>
      </c>
      <c r="G20" s="10">
        <f t="shared" si="8"/>
        <v>66435.654658385101</v>
      </c>
      <c r="H20" s="10">
        <v>48618820</v>
      </c>
      <c r="I20" s="10">
        <f t="shared" si="9"/>
        <v>150990.12422360247</v>
      </c>
      <c r="J20" s="8">
        <f t="shared" si="2"/>
        <v>99.378881987577643</v>
      </c>
      <c r="K20" s="8">
        <f t="shared" si="4"/>
        <v>0.6211180124223602</v>
      </c>
      <c r="L20">
        <v>2</v>
      </c>
    </row>
    <row r="21" spans="2:12" x14ac:dyDescent="0.25">
      <c r="B21" s="9"/>
      <c r="C21" s="9"/>
      <c r="D21" s="9" t="s">
        <v>24</v>
      </c>
      <c r="E21" s="9">
        <v>258</v>
      </c>
      <c r="F21" s="10">
        <f t="shared" si="3"/>
        <v>18403240.239999998</v>
      </c>
      <c r="G21" s="10">
        <f t="shared" si="8"/>
        <v>71330.38852713177</v>
      </c>
      <c r="H21" s="10">
        <v>41825546</v>
      </c>
      <c r="I21" s="10">
        <f t="shared" si="9"/>
        <v>162114.51937984495</v>
      </c>
      <c r="J21" s="8">
        <f t="shared" si="2"/>
        <v>99.612403100775197</v>
      </c>
      <c r="K21" s="8">
        <f t="shared" si="4"/>
        <v>0.38759689922480617</v>
      </c>
      <c r="L21">
        <v>1</v>
      </c>
    </row>
    <row r="22" spans="2:12" x14ac:dyDescent="0.25">
      <c r="B22" s="9"/>
      <c r="C22" s="9"/>
      <c r="D22" s="9" t="s">
        <v>25</v>
      </c>
      <c r="E22" s="9">
        <v>18</v>
      </c>
      <c r="F22" s="10">
        <f t="shared" si="3"/>
        <v>1502406.4</v>
      </c>
      <c r="G22" s="10">
        <f t="shared" si="8"/>
        <v>83467.022222222222</v>
      </c>
      <c r="H22" s="10">
        <v>3414560</v>
      </c>
      <c r="I22" s="10">
        <f t="shared" si="9"/>
        <v>189697.77777777778</v>
      </c>
      <c r="J22" s="8">
        <f t="shared" si="2"/>
        <v>100</v>
      </c>
      <c r="K22" s="8">
        <f t="shared" si="4"/>
        <v>0</v>
      </c>
      <c r="L22">
        <v>0</v>
      </c>
    </row>
    <row r="23" spans="2:12" x14ac:dyDescent="0.25">
      <c r="B23" s="9"/>
      <c r="C23" s="9"/>
      <c r="D23" s="9" t="s">
        <v>199</v>
      </c>
      <c r="E23" s="9">
        <f>13+1+1+1+1+1</f>
        <v>18</v>
      </c>
      <c r="F23" s="10">
        <f t="shared" si="3"/>
        <v>2003913.56</v>
      </c>
      <c r="G23" s="10">
        <f t="shared" si="8"/>
        <v>111328.53111111111</v>
      </c>
      <c r="H23" s="10">
        <f>2777315+278200+295360+298000+305474+600000</f>
        <v>4554349</v>
      </c>
      <c r="I23" s="10">
        <f t="shared" si="9"/>
        <v>253019.38888888888</v>
      </c>
      <c r="J23" s="8">
        <f t="shared" ref="J23" si="10">IFERROR(100-K23,0)</f>
        <v>94.444444444444443</v>
      </c>
      <c r="K23" s="8">
        <f t="shared" si="4"/>
        <v>5.5555555555555554</v>
      </c>
      <c r="L23">
        <v>1</v>
      </c>
    </row>
    <row r="24" spans="2:12" x14ac:dyDescent="0.25">
      <c r="B24" s="9"/>
      <c r="C24" s="12" t="s">
        <v>184</v>
      </c>
      <c r="D24" s="12" t="s">
        <v>45</v>
      </c>
      <c r="E24" s="13">
        <f>SUM(E14:E23)</f>
        <v>3484</v>
      </c>
      <c r="F24" s="14">
        <f>SUM(F14:F23)</f>
        <v>161772742.12</v>
      </c>
      <c r="G24" s="10">
        <f t="shared" si="8"/>
        <v>46433.04882893226</v>
      </c>
      <c r="H24" s="14">
        <f>SUM(H14:H23)</f>
        <v>367665323</v>
      </c>
      <c r="I24" s="10">
        <f t="shared" si="9"/>
        <v>105529.6564293915</v>
      </c>
      <c r="J24" s="8"/>
      <c r="K24" s="8"/>
      <c r="L24" s="16">
        <f>SUM(L14:L23)</f>
        <v>38</v>
      </c>
    </row>
    <row r="25" spans="2:12" x14ac:dyDescent="0.25">
      <c r="B25" s="9" t="s">
        <v>181</v>
      </c>
      <c r="C25" s="9" t="s">
        <v>185</v>
      </c>
      <c r="D25" s="9" t="s">
        <v>190</v>
      </c>
      <c r="E25" s="9">
        <v>159</v>
      </c>
      <c r="F25" s="10">
        <f t="shared" si="3"/>
        <v>3983542.2</v>
      </c>
      <c r="G25" s="10">
        <f t="shared" ref="G25:G30" si="11">IFERROR(F25/E25,0)</f>
        <v>25053.724528301889</v>
      </c>
      <c r="H25" s="10">
        <v>9053505</v>
      </c>
      <c r="I25" s="10">
        <f t="shared" ref="I25:I33" si="12">IFERROR(H25/E25,0)</f>
        <v>56940.283018867922</v>
      </c>
      <c r="J25" s="8">
        <f t="shared" ref="J25:J33" si="13">IFERROR(100-K25,0)</f>
        <v>98.113207547169807</v>
      </c>
      <c r="K25" s="8">
        <f t="shared" si="4"/>
        <v>1.8867924528301885</v>
      </c>
      <c r="L25">
        <v>3</v>
      </c>
    </row>
    <row r="26" spans="2:12" x14ac:dyDescent="0.25">
      <c r="C26" s="9"/>
      <c r="D26" s="9" t="s">
        <v>11</v>
      </c>
      <c r="E26" s="9">
        <v>772</v>
      </c>
      <c r="F26" s="10">
        <f t="shared" si="3"/>
        <v>22577509.68</v>
      </c>
      <c r="G26" s="10">
        <f t="shared" si="11"/>
        <v>29245.478860103627</v>
      </c>
      <c r="H26" s="10">
        <v>51312522</v>
      </c>
      <c r="I26" s="10">
        <f t="shared" si="12"/>
        <v>66466.997409326432</v>
      </c>
      <c r="J26" s="8">
        <f t="shared" si="13"/>
        <v>97.668393782383419</v>
      </c>
      <c r="K26" s="8">
        <f t="shared" si="4"/>
        <v>2.3316062176165806</v>
      </c>
      <c r="L26">
        <v>18</v>
      </c>
    </row>
    <row r="27" spans="2:12" x14ac:dyDescent="0.25">
      <c r="B27" s="9"/>
      <c r="C27" s="9"/>
      <c r="D27" s="9" t="s">
        <v>28</v>
      </c>
      <c r="E27" s="9">
        <v>570</v>
      </c>
      <c r="F27" s="10">
        <f t="shared" si="3"/>
        <v>18867614.48</v>
      </c>
      <c r="G27" s="10">
        <f t="shared" si="11"/>
        <v>33101.078035087718</v>
      </c>
      <c r="H27" s="10">
        <v>42880942</v>
      </c>
      <c r="I27" s="10">
        <f t="shared" si="12"/>
        <v>75229.722807017548</v>
      </c>
      <c r="J27" s="8">
        <f t="shared" si="13"/>
        <v>97.89473684210526</v>
      </c>
      <c r="K27" s="8">
        <f t="shared" si="4"/>
        <v>2.1052631578947367</v>
      </c>
      <c r="L27">
        <v>12</v>
      </c>
    </row>
    <row r="28" spans="2:12" x14ac:dyDescent="0.25">
      <c r="B28" s="9"/>
      <c r="C28" s="9"/>
      <c r="D28" s="9" t="s">
        <v>27</v>
      </c>
      <c r="E28" s="9">
        <v>161</v>
      </c>
      <c r="F28" s="10">
        <f t="shared" si="3"/>
        <v>6042116.96</v>
      </c>
      <c r="G28" s="10">
        <f t="shared" si="11"/>
        <v>37528.676770186335</v>
      </c>
      <c r="H28" s="10">
        <v>13732084</v>
      </c>
      <c r="I28" s="10">
        <f t="shared" si="12"/>
        <v>85292.44720496895</v>
      </c>
      <c r="J28" s="8">
        <f t="shared" si="13"/>
        <v>98.757763975155285</v>
      </c>
      <c r="K28" s="8">
        <f t="shared" si="4"/>
        <v>1.2422360248447204</v>
      </c>
      <c r="L28">
        <v>2</v>
      </c>
    </row>
    <row r="29" spans="2:12" x14ac:dyDescent="0.25">
      <c r="B29" s="9"/>
      <c r="C29" s="9"/>
      <c r="D29" s="9" t="s">
        <v>26</v>
      </c>
      <c r="E29" s="9">
        <v>893</v>
      </c>
      <c r="F29" s="10">
        <f t="shared" si="3"/>
        <v>37703393.200000003</v>
      </c>
      <c r="G29" s="10">
        <f t="shared" si="11"/>
        <v>42221.045016797318</v>
      </c>
      <c r="H29" s="10">
        <v>85689530</v>
      </c>
      <c r="I29" s="10">
        <f t="shared" si="12"/>
        <v>95956.920492721169</v>
      </c>
      <c r="J29" s="8">
        <f t="shared" si="13"/>
        <v>99.888017917133254</v>
      </c>
      <c r="K29" s="8">
        <f t="shared" si="4"/>
        <v>0.11198208286674133</v>
      </c>
      <c r="L29">
        <v>1</v>
      </c>
    </row>
    <row r="30" spans="2:12" x14ac:dyDescent="0.25">
      <c r="B30" s="9"/>
      <c r="C30" s="9"/>
      <c r="D30" s="9" t="s">
        <v>15</v>
      </c>
      <c r="E30" s="9">
        <v>1122</v>
      </c>
      <c r="F30" s="10">
        <f t="shared" si="3"/>
        <v>50727648.399999999</v>
      </c>
      <c r="G30" s="10">
        <f t="shared" si="11"/>
        <v>45211.807843137256</v>
      </c>
      <c r="H30" s="10">
        <v>115290110</v>
      </c>
      <c r="I30" s="10">
        <f t="shared" si="12"/>
        <v>102754.10873440285</v>
      </c>
      <c r="J30" s="8">
        <f t="shared" si="13"/>
        <v>99.465240641711233</v>
      </c>
      <c r="K30" s="8">
        <f t="shared" si="4"/>
        <v>0.53475935828876997</v>
      </c>
      <c r="L30">
        <v>6</v>
      </c>
    </row>
    <row r="31" spans="2:12" x14ac:dyDescent="0.25">
      <c r="B31" s="9"/>
      <c r="C31" s="9"/>
      <c r="D31" s="9" t="s">
        <v>17</v>
      </c>
      <c r="E31" s="9">
        <v>271</v>
      </c>
      <c r="F31" s="10">
        <f t="shared" si="3"/>
        <v>14735247.119999999</v>
      </c>
      <c r="G31" s="10">
        <f t="shared" ref="G31:G33" si="14">IFERROR(F31/E31,0)</f>
        <v>54373.605608856087</v>
      </c>
      <c r="H31" s="10">
        <v>33489198</v>
      </c>
      <c r="I31" s="10">
        <f t="shared" si="12"/>
        <v>123576.37638376384</v>
      </c>
      <c r="J31" s="8">
        <f t="shared" si="13"/>
        <v>98.892988929889299</v>
      </c>
      <c r="K31" s="8">
        <f t="shared" si="4"/>
        <v>1.1070110701107012</v>
      </c>
      <c r="L31">
        <v>3</v>
      </c>
    </row>
    <row r="32" spans="2:12" x14ac:dyDescent="0.25">
      <c r="B32" s="9"/>
      <c r="C32" s="9"/>
      <c r="D32" s="9" t="s">
        <v>20</v>
      </c>
      <c r="E32" s="9">
        <v>38</v>
      </c>
      <c r="F32" s="10">
        <f t="shared" si="3"/>
        <v>2493807.7999999998</v>
      </c>
      <c r="G32" s="10">
        <f t="shared" si="14"/>
        <v>65626.521052631579</v>
      </c>
      <c r="H32" s="10">
        <v>5667745</v>
      </c>
      <c r="I32" s="10">
        <f t="shared" si="12"/>
        <v>149151.18421052632</v>
      </c>
      <c r="J32" s="8">
        <f t="shared" si="13"/>
        <v>100</v>
      </c>
      <c r="K32" s="8">
        <f t="shared" si="4"/>
        <v>0</v>
      </c>
      <c r="L32">
        <v>0</v>
      </c>
    </row>
    <row r="33" spans="2:12" x14ac:dyDescent="0.25">
      <c r="B33" s="9"/>
      <c r="C33" s="9"/>
      <c r="D33" s="9" t="s">
        <v>24</v>
      </c>
      <c r="E33" s="9">
        <v>16</v>
      </c>
      <c r="F33" s="10">
        <f t="shared" ref="F33" si="15">H33*44%</f>
        <v>1144980.32</v>
      </c>
      <c r="G33" s="10">
        <f t="shared" si="14"/>
        <v>71561.27</v>
      </c>
      <c r="H33" s="10">
        <v>2602228</v>
      </c>
      <c r="I33" s="10">
        <f t="shared" si="12"/>
        <v>162639.25</v>
      </c>
      <c r="J33" s="8">
        <f t="shared" si="13"/>
        <v>100</v>
      </c>
      <c r="K33" s="8">
        <f t="shared" si="4"/>
        <v>0</v>
      </c>
      <c r="L33">
        <v>0</v>
      </c>
    </row>
    <row r="34" spans="2:12" x14ac:dyDescent="0.25">
      <c r="B34" s="9"/>
      <c r="C34" s="12" t="s">
        <v>181</v>
      </c>
      <c r="D34" s="12" t="s">
        <v>45</v>
      </c>
      <c r="E34" s="13">
        <f>SUM(E25:E33)</f>
        <v>4002</v>
      </c>
      <c r="F34" s="14">
        <f>SUM(F25:F33)</f>
        <v>158275860.16000003</v>
      </c>
      <c r="G34" s="10">
        <f>IFERROR(F34/E33,0)</f>
        <v>9892241.2600000016</v>
      </c>
      <c r="H34" s="14">
        <f>SUM(H25:H33)</f>
        <v>359717864</v>
      </c>
      <c r="I34" s="10">
        <f>IFERROR(H34/E34,0)</f>
        <v>89884.523738130942</v>
      </c>
      <c r="J34" s="8"/>
      <c r="K34" s="8"/>
      <c r="L34" s="16">
        <f>SUM(L25:L33)</f>
        <v>45</v>
      </c>
    </row>
    <row r="35" spans="2:12" x14ac:dyDescent="0.25">
      <c r="B35" s="9" t="s">
        <v>182</v>
      </c>
      <c r="C35" s="9" t="s">
        <v>10</v>
      </c>
      <c r="D35" s="9" t="s">
        <v>202</v>
      </c>
      <c r="E35" s="9">
        <f>11+3</f>
        <v>14</v>
      </c>
      <c r="F35" s="10">
        <f t="shared" si="3"/>
        <v>240240</v>
      </c>
      <c r="G35" s="10">
        <f t="shared" si="8"/>
        <v>17160</v>
      </c>
      <c r="H35" s="10">
        <f>396000+150000</f>
        <v>546000</v>
      </c>
      <c r="I35" s="10">
        <f t="shared" ref="I35:I43" si="16">IFERROR(H35/E35,0)</f>
        <v>39000</v>
      </c>
      <c r="J35" s="8">
        <f t="shared" si="2"/>
        <v>78.571428571428569</v>
      </c>
      <c r="K35" s="8">
        <f t="shared" si="4"/>
        <v>21.428571428571427</v>
      </c>
      <c r="L35">
        <v>3</v>
      </c>
    </row>
    <row r="36" spans="2:12" x14ac:dyDescent="0.25">
      <c r="C36" s="9"/>
      <c r="D36" s="9" t="s">
        <v>11</v>
      </c>
      <c r="E36" s="9">
        <v>387</v>
      </c>
      <c r="F36" s="10">
        <f t="shared" si="3"/>
        <v>10960906.880000001</v>
      </c>
      <c r="G36" s="10">
        <f t="shared" si="8"/>
        <v>28322.756795865636</v>
      </c>
      <c r="H36" s="10">
        <v>24911152</v>
      </c>
      <c r="I36" s="10">
        <f t="shared" si="16"/>
        <v>64369.901808785529</v>
      </c>
      <c r="J36" s="8">
        <f t="shared" si="2"/>
        <v>97.41602067183463</v>
      </c>
      <c r="K36" s="8">
        <f t="shared" si="4"/>
        <v>2.5839793281653747</v>
      </c>
      <c r="L36">
        <v>10</v>
      </c>
    </row>
    <row r="37" spans="2:12" x14ac:dyDescent="0.25">
      <c r="B37" s="9"/>
      <c r="C37" s="9"/>
      <c r="D37" s="9" t="s">
        <v>28</v>
      </c>
      <c r="E37" s="9">
        <v>923</v>
      </c>
      <c r="F37" s="10">
        <f t="shared" si="3"/>
        <v>31342308.800000001</v>
      </c>
      <c r="G37" s="10">
        <f t="shared" si="8"/>
        <v>33956.997616468041</v>
      </c>
      <c r="H37" s="10">
        <v>71232520</v>
      </c>
      <c r="I37" s="10">
        <f t="shared" si="16"/>
        <v>77174.994582881904</v>
      </c>
      <c r="J37" s="8">
        <f t="shared" si="2"/>
        <v>98.591549295774655</v>
      </c>
      <c r="K37" s="8">
        <f t="shared" si="4"/>
        <v>1.408450704225352</v>
      </c>
      <c r="L37">
        <v>13</v>
      </c>
    </row>
    <row r="38" spans="2:12" x14ac:dyDescent="0.25">
      <c r="B38" s="9"/>
      <c r="C38" s="9"/>
      <c r="D38" s="9" t="s">
        <v>27</v>
      </c>
      <c r="E38" s="9">
        <v>493</v>
      </c>
      <c r="F38" s="10">
        <f t="shared" si="3"/>
        <v>19166336.640000001</v>
      </c>
      <c r="G38" s="10">
        <f t="shared" si="8"/>
        <v>38876.950588235297</v>
      </c>
      <c r="H38" s="10">
        <v>43559856</v>
      </c>
      <c r="I38" s="10">
        <f t="shared" si="16"/>
        <v>88356.705882352937</v>
      </c>
      <c r="J38" s="8">
        <f t="shared" si="2"/>
        <v>99.59432048681542</v>
      </c>
      <c r="K38" s="8">
        <f t="shared" si="4"/>
        <v>0.40567951318458423</v>
      </c>
      <c r="L38">
        <v>2</v>
      </c>
    </row>
    <row r="39" spans="2:12" x14ac:dyDescent="0.25">
      <c r="B39" s="9"/>
      <c r="C39" s="9"/>
      <c r="D39" s="9" t="s">
        <v>26</v>
      </c>
      <c r="E39" s="9">
        <v>427</v>
      </c>
      <c r="F39" s="10">
        <f t="shared" si="3"/>
        <v>17644159.719999999</v>
      </c>
      <c r="G39" s="10">
        <f t="shared" si="8"/>
        <v>41321.217142857138</v>
      </c>
      <c r="H39" s="10">
        <v>40100363</v>
      </c>
      <c r="I39" s="10">
        <f t="shared" si="16"/>
        <v>93911.857142857145</v>
      </c>
      <c r="J39" s="8">
        <f t="shared" si="2"/>
        <v>98.829039812646371</v>
      </c>
      <c r="K39" s="8">
        <f t="shared" si="4"/>
        <v>1.1709601873536302</v>
      </c>
      <c r="L39">
        <v>5</v>
      </c>
    </row>
    <row r="40" spans="2:12" x14ac:dyDescent="0.25">
      <c r="B40" s="9"/>
      <c r="C40" s="9" t="s">
        <v>12</v>
      </c>
      <c r="D40" s="9" t="s">
        <v>15</v>
      </c>
      <c r="E40" s="9">
        <v>822</v>
      </c>
      <c r="F40" s="10">
        <f t="shared" si="3"/>
        <v>40931561.880000003</v>
      </c>
      <c r="G40" s="10">
        <f t="shared" si="8"/>
        <v>49795.087445255478</v>
      </c>
      <c r="H40" s="10">
        <v>93026277</v>
      </c>
      <c r="I40" s="10">
        <f t="shared" si="16"/>
        <v>113170.65328467153</v>
      </c>
      <c r="J40" s="8">
        <f t="shared" si="2"/>
        <v>99.391727493917273</v>
      </c>
      <c r="K40" s="8">
        <f t="shared" si="4"/>
        <v>0.60827250608272498</v>
      </c>
      <c r="L40">
        <v>5</v>
      </c>
    </row>
    <row r="41" spans="2:12" x14ac:dyDescent="0.25">
      <c r="B41" s="9"/>
      <c r="C41" s="9"/>
      <c r="D41" s="9" t="s">
        <v>17</v>
      </c>
      <c r="E41" s="9">
        <v>372</v>
      </c>
      <c r="F41" s="10">
        <f t="shared" si="3"/>
        <v>19955753.84</v>
      </c>
      <c r="G41" s="10">
        <f t="shared" si="8"/>
        <v>53644.499569892476</v>
      </c>
      <c r="H41" s="10">
        <v>45353986</v>
      </c>
      <c r="I41" s="10">
        <f t="shared" si="16"/>
        <v>121919.31720430107</v>
      </c>
      <c r="J41" s="8">
        <f t="shared" si="2"/>
        <v>98.924731182795696</v>
      </c>
      <c r="K41" s="8">
        <f t="shared" si="4"/>
        <v>1.075268817204301</v>
      </c>
      <c r="L41">
        <v>4</v>
      </c>
    </row>
    <row r="42" spans="2:12" x14ac:dyDescent="0.25">
      <c r="B42" s="9"/>
      <c r="C42" s="9"/>
      <c r="D42" s="9" t="s">
        <v>203</v>
      </c>
      <c r="E42" s="9">
        <f>2+8+5+1</f>
        <v>16</v>
      </c>
      <c r="F42" s="10">
        <f t="shared" ref="F42" si="17">H42*44%</f>
        <v>1215892.48</v>
      </c>
      <c r="G42" s="10">
        <f t="shared" si="8"/>
        <v>75993.279999999999</v>
      </c>
      <c r="H42" s="10">
        <f>305474+1329906+928012+200000</f>
        <v>2763392</v>
      </c>
      <c r="I42" s="10">
        <f t="shared" si="16"/>
        <v>172712</v>
      </c>
      <c r="J42" s="8">
        <f t="shared" si="2"/>
        <v>93.75</v>
      </c>
      <c r="K42" s="8">
        <f t="shared" si="4"/>
        <v>6.25</v>
      </c>
      <c r="L42">
        <v>1</v>
      </c>
    </row>
    <row r="43" spans="2:12" x14ac:dyDescent="0.25">
      <c r="B43" s="9"/>
      <c r="C43" s="12" t="s">
        <v>182</v>
      </c>
      <c r="D43" s="12" t="s">
        <v>45</v>
      </c>
      <c r="E43" s="13">
        <f>SUM(E35:E42)</f>
        <v>3454</v>
      </c>
      <c r="F43" s="14">
        <f>SUM(F35:F42)</f>
        <v>141457160.23999998</v>
      </c>
      <c r="G43" s="10">
        <f t="shared" si="8"/>
        <v>40954.59184713375</v>
      </c>
      <c r="H43" s="14">
        <f>SUM(H35:H42)</f>
        <v>321493546</v>
      </c>
      <c r="I43" s="10">
        <f t="shared" si="16"/>
        <v>93078.6178343949</v>
      </c>
      <c r="J43" s="15"/>
      <c r="K43" s="15"/>
      <c r="L43" s="16">
        <f>SUM(L35:L42)</f>
        <v>43</v>
      </c>
    </row>
    <row r="44" spans="2:12" ht="14.45" hidden="1" x14ac:dyDescent="0.3">
      <c r="B44" s="9"/>
      <c r="C44" s="9"/>
      <c r="D44" s="9" t="s">
        <v>24</v>
      </c>
      <c r="E44" s="9"/>
      <c r="F44" s="10">
        <f t="shared" ref="F44:F48" si="18">H44*37%</f>
        <v>0</v>
      </c>
      <c r="G44" s="10">
        <f t="shared" ref="G44:G48" si="19">IFERROR(F44/E44,0)</f>
        <v>0</v>
      </c>
      <c r="H44" s="10"/>
      <c r="I44" s="10">
        <f t="shared" ref="I44:I48" si="20">IFERROR(H44/E44,0)</f>
        <v>0</v>
      </c>
      <c r="J44" s="8">
        <f t="shared" ref="J44:J48" si="21">IFERROR(100-K44,0)</f>
        <v>100</v>
      </c>
      <c r="K44" s="8">
        <f>IFERROR(L45/E44%,0)</f>
        <v>0</v>
      </c>
    </row>
    <row r="45" spans="2:12" ht="14.45" hidden="1" x14ac:dyDescent="0.3">
      <c r="B45" s="9"/>
      <c r="C45" s="9"/>
      <c r="D45" s="9" t="s">
        <v>25</v>
      </c>
      <c r="E45" s="9"/>
      <c r="F45" s="10">
        <f t="shared" si="18"/>
        <v>0</v>
      </c>
      <c r="G45" s="10">
        <f t="shared" si="19"/>
        <v>0</v>
      </c>
      <c r="H45" s="10"/>
      <c r="I45" s="10">
        <f t="shared" si="20"/>
        <v>0</v>
      </c>
      <c r="J45" s="8">
        <f t="shared" si="21"/>
        <v>100</v>
      </c>
      <c r="K45" s="8">
        <f>IFERROR(L46/E45%,0)</f>
        <v>0</v>
      </c>
    </row>
    <row r="46" spans="2:12" ht="14.45" hidden="1" x14ac:dyDescent="0.3">
      <c r="B46" s="9"/>
      <c r="C46" s="9"/>
      <c r="D46" s="9" t="s">
        <v>43</v>
      </c>
      <c r="E46" s="9"/>
      <c r="F46" s="10">
        <f t="shared" si="18"/>
        <v>0</v>
      </c>
      <c r="G46" s="10">
        <f t="shared" si="19"/>
        <v>0</v>
      </c>
      <c r="H46" s="10"/>
      <c r="I46" s="10">
        <f t="shared" si="20"/>
        <v>0</v>
      </c>
      <c r="J46" s="8">
        <f t="shared" si="21"/>
        <v>100</v>
      </c>
      <c r="K46" s="8">
        <f>IFERROR(L47/E46%,0)</f>
        <v>0</v>
      </c>
    </row>
    <row r="47" spans="2:12" ht="14.45" hidden="1" x14ac:dyDescent="0.3">
      <c r="B47" s="9"/>
      <c r="C47" s="9"/>
      <c r="D47" s="9" t="s">
        <v>29</v>
      </c>
      <c r="E47" s="9"/>
      <c r="F47" s="10">
        <f t="shared" si="18"/>
        <v>0</v>
      </c>
      <c r="G47" s="10">
        <f t="shared" si="19"/>
        <v>0</v>
      </c>
      <c r="H47" s="10"/>
      <c r="I47" s="10">
        <f t="shared" si="20"/>
        <v>0</v>
      </c>
      <c r="J47" s="8">
        <f t="shared" si="21"/>
        <v>100</v>
      </c>
      <c r="K47" s="8">
        <f>IFERROR(L48/E47%,0)</f>
        <v>0</v>
      </c>
    </row>
    <row r="48" spans="2:12" ht="14.45" hidden="1" x14ac:dyDescent="0.3">
      <c r="B48" s="9"/>
      <c r="C48" s="9" t="s">
        <v>30</v>
      </c>
      <c r="D48" s="9" t="s">
        <v>31</v>
      </c>
      <c r="E48" s="9"/>
      <c r="F48" s="10">
        <f t="shared" si="18"/>
        <v>0</v>
      </c>
      <c r="G48" s="10">
        <f t="shared" si="19"/>
        <v>0</v>
      </c>
      <c r="H48" s="10"/>
      <c r="I48" s="10">
        <f t="shared" si="20"/>
        <v>0</v>
      </c>
      <c r="J48" s="8">
        <f t="shared" si="21"/>
        <v>100</v>
      </c>
      <c r="K48" s="8">
        <f>IFERROR(L49/E48%,0)</f>
        <v>0</v>
      </c>
    </row>
    <row r="49" spans="2:12" ht="14.45" hidden="1" x14ac:dyDescent="0.3">
      <c r="B49" s="9"/>
      <c r="C49" s="12" t="s">
        <v>44</v>
      </c>
      <c r="D49" s="12" t="s">
        <v>45</v>
      </c>
      <c r="E49" s="13">
        <f>SUM(E44:E48)</f>
        <v>0</v>
      </c>
      <c r="F49" s="14">
        <f>SUM(F44:F48)</f>
        <v>0</v>
      </c>
      <c r="G49" s="14"/>
      <c r="H49" s="14">
        <f>SUM(H44:H48)</f>
        <v>0</v>
      </c>
      <c r="I49" s="14"/>
      <c r="J49" s="15"/>
      <c r="K49" s="15"/>
    </row>
    <row r="50" spans="2:12" s="16" customFormat="1" ht="14.45" hidden="1" x14ac:dyDescent="0.3">
      <c r="B50" s="13"/>
      <c r="C50" s="9"/>
      <c r="D50" s="9"/>
      <c r="E50" s="11"/>
      <c r="F50" s="10"/>
      <c r="G50" s="10"/>
      <c r="H50" s="10"/>
      <c r="I50" s="10"/>
      <c r="J50" s="9"/>
      <c r="K50" s="9"/>
    </row>
    <row r="51" spans="2:12" ht="14.45" hidden="1" x14ac:dyDescent="0.3">
      <c r="B51" s="9"/>
      <c r="L51" s="7">
        <f>SUM(L6:L49)</f>
        <v>312</v>
      </c>
    </row>
    <row r="52" spans="2:12" x14ac:dyDescent="0.25">
      <c r="L52">
        <f>L43+L34+L24+L13</f>
        <v>156</v>
      </c>
    </row>
    <row r="53" spans="2:12" x14ac:dyDescent="0.25">
      <c r="B53" t="s">
        <v>191</v>
      </c>
    </row>
    <row r="54" spans="2:12" x14ac:dyDescent="0.25">
      <c r="B54" t="s">
        <v>192</v>
      </c>
    </row>
    <row r="56" spans="2:12" x14ac:dyDescent="0.25">
      <c r="B56" t="s">
        <v>193</v>
      </c>
    </row>
    <row r="57" spans="2:12" x14ac:dyDescent="0.25">
      <c r="B57" t="s">
        <v>200</v>
      </c>
    </row>
  </sheetData>
  <sheetProtection sheet="1" objects="1" scenarios="1"/>
  <mergeCells count="5">
    <mergeCell ref="B14:B20"/>
    <mergeCell ref="E3:I3"/>
    <mergeCell ref="J3:K3"/>
    <mergeCell ref="F4:G4"/>
    <mergeCell ref="H4:I4"/>
  </mergeCells>
  <printOptions horizontalCentered="1" verticalCentered="1"/>
  <pageMargins left="0.19685039370078741" right="0.11811023622047245" top="0.19685039370078741" bottom="0.19685039370078741" header="0.11811023622047245" footer="0.11811023622047245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G8" sqref="G8"/>
    </sheetView>
  </sheetViews>
  <sheetFormatPr defaultRowHeight="15" x14ac:dyDescent="0.25"/>
  <cols>
    <col min="2" max="2" width="28.85546875" customWidth="1"/>
    <col min="3" max="3" width="9.140625" style="7"/>
    <col min="4" max="4" width="21" style="5" customWidth="1"/>
    <col min="6" max="6" width="10.140625" bestFit="1" customWidth="1"/>
    <col min="8" max="8" width="15.42578125" customWidth="1"/>
  </cols>
  <sheetData>
    <row r="1" spans="1:6" ht="14.45" x14ac:dyDescent="0.3">
      <c r="A1" s="18" t="s">
        <v>46</v>
      </c>
    </row>
    <row r="2" spans="1:6" ht="14.45" x14ac:dyDescent="0.3">
      <c r="A2" s="18"/>
    </row>
    <row r="3" spans="1:6" ht="14.45" x14ac:dyDescent="0.3">
      <c r="A3" s="18"/>
    </row>
    <row r="4" spans="1:6" ht="14.45" x14ac:dyDescent="0.3">
      <c r="A4" s="18"/>
      <c r="B4" s="9"/>
      <c r="C4" s="63" t="s">
        <v>48</v>
      </c>
      <c r="D4" s="64" t="s">
        <v>176</v>
      </c>
    </row>
    <row r="5" spans="1:6" ht="14.45" x14ac:dyDescent="0.3">
      <c r="A5" s="18"/>
      <c r="B5" s="11" t="s">
        <v>198</v>
      </c>
      <c r="C5" s="17">
        <v>13843</v>
      </c>
      <c r="D5" s="14">
        <v>1330985018</v>
      </c>
    </row>
    <row r="7" spans="1:6" ht="14.45" x14ac:dyDescent="0.3">
      <c r="B7" s="62" t="s">
        <v>47</v>
      </c>
      <c r="C7" s="63" t="s">
        <v>48</v>
      </c>
      <c r="D7" s="64" t="s">
        <v>6</v>
      </c>
    </row>
    <row r="8" spans="1:6" ht="14.45" x14ac:dyDescent="0.3">
      <c r="B8" s="9" t="s">
        <v>180</v>
      </c>
      <c r="C8" s="11">
        <f>'Summary by Band-Post code !!!'!$E$13</f>
        <v>2903</v>
      </c>
      <c r="D8" s="10">
        <f>'Summary by Band-Post code !!!'!$H$13</f>
        <v>282108285</v>
      </c>
    </row>
    <row r="9" spans="1:6" ht="14.45" x14ac:dyDescent="0.3">
      <c r="B9" s="9" t="s">
        <v>186</v>
      </c>
      <c r="C9" s="11">
        <f>'Summary by Band-Post code !!!'!$E$24</f>
        <v>3484</v>
      </c>
      <c r="D9" s="10">
        <f>'Summary by Band-Post code !!!'!$H$24</f>
        <v>367665323</v>
      </c>
    </row>
    <row r="10" spans="1:6" ht="14.45" x14ac:dyDescent="0.3">
      <c r="B10" s="9" t="s">
        <v>181</v>
      </c>
      <c r="C10" s="11">
        <f>'Summary by Band-Post code !!!'!$E$34</f>
        <v>4002</v>
      </c>
      <c r="D10" s="10">
        <f>'Summary by Band-Post code !!!'!$H$34</f>
        <v>359717864</v>
      </c>
    </row>
    <row r="11" spans="1:6" ht="14.45" x14ac:dyDescent="0.3">
      <c r="B11" s="9" t="s">
        <v>182</v>
      </c>
      <c r="C11" s="11">
        <f>'Summary by Band-Post code !!!'!$E$43</f>
        <v>3454</v>
      </c>
      <c r="D11" s="10">
        <f>'Summary by Band-Post code !!!'!$H$43</f>
        <v>321493546</v>
      </c>
    </row>
    <row r="12" spans="1:6" s="16" customFormat="1" ht="14.45" x14ac:dyDescent="0.3">
      <c r="B12" s="12" t="s">
        <v>187</v>
      </c>
      <c r="C12" s="17">
        <f>SUM(C8:C11)</f>
        <v>13843</v>
      </c>
      <c r="D12" s="14">
        <f>SUM(D8:D11)</f>
        <v>1330985018</v>
      </c>
      <c r="F12" s="69"/>
    </row>
    <row r="13" spans="1:6" ht="14.45" x14ac:dyDescent="0.3">
      <c r="B13" s="61" t="s">
        <v>49</v>
      </c>
      <c r="C13" s="11">
        <v>924</v>
      </c>
      <c r="D13" s="10"/>
    </row>
    <row r="14" spans="1:6" ht="14.45" x14ac:dyDescent="0.3">
      <c r="B14" s="61" t="s">
        <v>159</v>
      </c>
      <c r="C14" s="11">
        <v>20</v>
      </c>
      <c r="D14" s="10"/>
    </row>
    <row r="15" spans="1:6" ht="14.45" x14ac:dyDescent="0.3">
      <c r="B15" s="61" t="s">
        <v>201</v>
      </c>
      <c r="C15" s="11">
        <v>5</v>
      </c>
      <c r="D15" s="10"/>
    </row>
    <row r="16" spans="1:6" ht="14.45" x14ac:dyDescent="0.3">
      <c r="B16" s="9"/>
      <c r="C16" s="17">
        <f>SUM(C12:C15)</f>
        <v>14792</v>
      </c>
      <c r="D16" s="10"/>
    </row>
    <row r="18" spans="2:4" ht="14.45" x14ac:dyDescent="0.3">
      <c r="B18" t="s">
        <v>196</v>
      </c>
      <c r="C18" s="7">
        <v>14700</v>
      </c>
    </row>
    <row r="19" spans="2:4" ht="14.45" x14ac:dyDescent="0.3">
      <c r="B19" t="s">
        <v>197</v>
      </c>
      <c r="C19" s="7">
        <v>38</v>
      </c>
    </row>
    <row r="20" spans="2:4" ht="14.45" x14ac:dyDescent="0.3">
      <c r="B20" t="s">
        <v>158</v>
      </c>
      <c r="C20" s="7">
        <v>29</v>
      </c>
    </row>
    <row r="21" spans="2:4" ht="14.45" x14ac:dyDescent="0.3">
      <c r="B21" t="s">
        <v>159</v>
      </c>
      <c r="C21" s="7">
        <v>20</v>
      </c>
    </row>
    <row r="22" spans="2:4" ht="14.45" x14ac:dyDescent="0.3">
      <c r="B22" t="s">
        <v>201</v>
      </c>
      <c r="C22" s="7">
        <v>5</v>
      </c>
    </row>
    <row r="23" spans="2:4" ht="14.45" x14ac:dyDescent="0.3">
      <c r="C23" s="59">
        <f>SUM(C18:C22)</f>
        <v>14792</v>
      </c>
    </row>
    <row r="24" spans="2:4" ht="14.45" x14ac:dyDescent="0.3">
      <c r="B24" t="s">
        <v>195</v>
      </c>
      <c r="C24" s="59">
        <v>0</v>
      </c>
    </row>
    <row r="25" spans="2:4" ht="14.45" x14ac:dyDescent="0.3">
      <c r="C25" s="59">
        <f>C23-C24</f>
        <v>14792</v>
      </c>
    </row>
    <row r="26" spans="2:4" ht="10.5" customHeight="1" x14ac:dyDescent="0.25"/>
    <row r="27" spans="2:4" x14ac:dyDescent="0.25">
      <c r="C27" s="7">
        <f>C25-C16</f>
        <v>0</v>
      </c>
      <c r="D27" s="5" t="s">
        <v>194</v>
      </c>
    </row>
    <row r="29" spans="2:4" x14ac:dyDescent="0.25">
      <c r="D29" s="7"/>
    </row>
  </sheetData>
  <sheetProtection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2"/>
  <sheetViews>
    <sheetView topLeftCell="A27" workbookViewId="0">
      <selection activeCell="E60" sqref="E60"/>
    </sheetView>
  </sheetViews>
  <sheetFormatPr defaultRowHeight="15" x14ac:dyDescent="0.25"/>
  <cols>
    <col min="1" max="1" width="3.42578125" bestFit="1" customWidth="1"/>
    <col min="2" max="2" width="20" customWidth="1"/>
    <col min="3" max="3" width="14.28515625" customWidth="1"/>
    <col min="4" max="4" width="14.42578125" customWidth="1"/>
    <col min="6" max="6" width="13.28515625" customWidth="1"/>
    <col min="7" max="7" width="12.28515625" customWidth="1"/>
    <col min="10" max="10" width="13" customWidth="1"/>
    <col min="11" max="11" width="14.140625" customWidth="1"/>
    <col min="13" max="13" width="10.28515625" customWidth="1"/>
    <col min="14" max="14" width="13.85546875" bestFit="1" customWidth="1"/>
    <col min="15" max="15" width="11.28515625" customWidth="1"/>
    <col min="16" max="16" width="10.140625" customWidth="1"/>
    <col min="17" max="17" width="11.28515625" customWidth="1"/>
    <col min="18" max="18" width="10.140625" bestFit="1" customWidth="1"/>
    <col min="19" max="19" width="9.7109375" bestFit="1" customWidth="1"/>
    <col min="20" max="20" width="7.140625" bestFit="1" customWidth="1"/>
    <col min="22" max="22" width="12" bestFit="1" customWidth="1"/>
    <col min="24" max="24" width="9.7109375" bestFit="1" customWidth="1"/>
    <col min="25" max="25" width="9.42578125" bestFit="1" customWidth="1"/>
    <col min="27" max="27" width="9.7109375" bestFit="1" customWidth="1"/>
    <col min="28" max="28" width="14.5703125" bestFit="1" customWidth="1"/>
    <col min="31" max="31" width="11.28515625" bestFit="1" customWidth="1"/>
  </cols>
  <sheetData>
    <row r="1" spans="1:31" ht="14.45" x14ac:dyDescent="0.3">
      <c r="F1" s="22" t="s">
        <v>50</v>
      </c>
      <c r="G1" s="23">
        <v>41729</v>
      </c>
    </row>
    <row r="3" spans="1:31" ht="40.15" x14ac:dyDescent="0.3">
      <c r="B3" s="9" t="s">
        <v>51</v>
      </c>
      <c r="C3" s="9" t="s">
        <v>47</v>
      </c>
      <c r="D3" s="9" t="s">
        <v>52</v>
      </c>
      <c r="E3" s="24" t="s">
        <v>53</v>
      </c>
      <c r="F3" s="25" t="s">
        <v>54</v>
      </c>
      <c r="G3" s="26" t="s">
        <v>55</v>
      </c>
      <c r="H3" s="25" t="s">
        <v>56</v>
      </c>
      <c r="I3" s="25" t="s">
        <v>57</v>
      </c>
      <c r="J3" s="26" t="s">
        <v>58</v>
      </c>
      <c r="K3" s="27" t="s">
        <v>59</v>
      </c>
      <c r="L3" s="25" t="s">
        <v>57</v>
      </c>
      <c r="M3" s="26" t="s">
        <v>55</v>
      </c>
      <c r="N3" s="28" t="s">
        <v>60</v>
      </c>
      <c r="O3" s="25" t="s">
        <v>61</v>
      </c>
      <c r="P3" s="28" t="s">
        <v>62</v>
      </c>
      <c r="Q3" s="25" t="s">
        <v>63</v>
      </c>
      <c r="R3" s="29" t="s">
        <v>64</v>
      </c>
      <c r="S3" s="26" t="s">
        <v>55</v>
      </c>
      <c r="T3" s="27" t="s">
        <v>65</v>
      </c>
      <c r="U3" s="26" t="s">
        <v>55</v>
      </c>
      <c r="V3" s="26" t="s">
        <v>66</v>
      </c>
      <c r="W3" s="26" t="s">
        <v>67</v>
      </c>
      <c r="X3" s="26" t="s">
        <v>68</v>
      </c>
      <c r="Y3" s="26" t="s">
        <v>69</v>
      </c>
      <c r="Z3" s="26" t="s">
        <v>67</v>
      </c>
      <c r="AA3" s="26" t="s">
        <v>68</v>
      </c>
      <c r="AB3" s="30" t="s">
        <v>70</v>
      </c>
      <c r="AC3" s="24"/>
      <c r="AD3" s="24"/>
      <c r="AE3" s="24"/>
    </row>
    <row r="4" spans="1:31" ht="14.45" x14ac:dyDescent="0.3">
      <c r="A4" s="31" t="s">
        <v>49</v>
      </c>
      <c r="E4" s="1"/>
      <c r="F4" s="32"/>
      <c r="G4" s="33"/>
      <c r="H4" s="1"/>
      <c r="I4" s="1"/>
      <c r="J4" s="33"/>
      <c r="K4" s="34"/>
      <c r="L4" s="34"/>
      <c r="M4" s="33"/>
      <c r="N4" s="33"/>
      <c r="O4" s="1"/>
      <c r="P4" s="35"/>
      <c r="Q4" s="1"/>
      <c r="R4" s="36"/>
      <c r="S4" s="33"/>
      <c r="T4" s="34"/>
      <c r="U4" s="33"/>
      <c r="V4" s="33"/>
      <c r="W4" s="33"/>
      <c r="X4" s="33"/>
      <c r="Y4" s="33"/>
      <c r="Z4" s="33"/>
      <c r="AA4" s="33"/>
      <c r="AB4" s="37"/>
    </row>
    <row r="5" spans="1:31" ht="14.45" x14ac:dyDescent="0.3">
      <c r="A5">
        <v>1</v>
      </c>
      <c r="B5" s="9" t="s">
        <v>111</v>
      </c>
      <c r="C5" s="9" t="s">
        <v>165</v>
      </c>
      <c r="D5" s="9" t="s">
        <v>112</v>
      </c>
      <c r="E5">
        <v>0</v>
      </c>
      <c r="F5" s="5">
        <f t="shared" ref="F5:F31" si="0">$L$37</f>
        <v>28500</v>
      </c>
      <c r="G5" s="38">
        <f t="shared" ref="G5:G31" si="1">SUM(E5*F5)</f>
        <v>0</v>
      </c>
      <c r="H5">
        <v>36</v>
      </c>
      <c r="I5" s="5">
        <f t="shared" ref="I5:I31" si="2">$L$38</f>
        <v>34500</v>
      </c>
      <c r="J5" s="39">
        <f t="shared" ref="J5:J31" si="3">SUM(H5*I5)</f>
        <v>1242000</v>
      </c>
      <c r="K5">
        <v>8</v>
      </c>
      <c r="L5" s="5">
        <f t="shared" ref="L5:L31" si="4">$L$39</f>
        <v>42500</v>
      </c>
      <c r="M5" s="38">
        <f t="shared" ref="M5:M22" si="5">SUM(K5*L5)</f>
        <v>340000</v>
      </c>
      <c r="N5" s="40">
        <f>$L$41</f>
        <v>17500</v>
      </c>
      <c r="O5" s="34" t="s">
        <v>84</v>
      </c>
      <c r="P5" s="41">
        <f>$L$48</f>
        <v>61500</v>
      </c>
      <c r="Q5" s="42"/>
      <c r="R5" s="43"/>
      <c r="S5" s="38">
        <f t="shared" ref="S5:S31" si="6">SUM(Q5*R5)</f>
        <v>0</v>
      </c>
      <c r="T5" s="42"/>
      <c r="U5" s="38"/>
      <c r="V5" s="38"/>
      <c r="W5" s="38"/>
      <c r="X5" s="38"/>
      <c r="Y5" s="38"/>
      <c r="Z5" s="38"/>
      <c r="AA5" s="38"/>
      <c r="AB5" s="44">
        <f t="shared" ref="AB5:AB31" si="7">SUM(G5+J5+M5+N5+P5+S5+U5)</f>
        <v>1661000</v>
      </c>
    </row>
    <row r="6" spans="1:31" ht="14.45" x14ac:dyDescent="0.3">
      <c r="A6">
        <v>2</v>
      </c>
      <c r="B6" s="9" t="s">
        <v>99</v>
      </c>
      <c r="C6" s="9" t="s">
        <v>153</v>
      </c>
      <c r="D6" s="9" t="s">
        <v>100</v>
      </c>
      <c r="E6">
        <v>0</v>
      </c>
      <c r="F6" s="5">
        <f t="shared" si="0"/>
        <v>28500</v>
      </c>
      <c r="G6" s="38">
        <f t="shared" si="1"/>
        <v>0</v>
      </c>
      <c r="H6">
        <v>37</v>
      </c>
      <c r="I6" s="5">
        <f t="shared" si="2"/>
        <v>34500</v>
      </c>
      <c r="J6" s="39">
        <f t="shared" si="3"/>
        <v>1276500</v>
      </c>
      <c r="K6">
        <v>0</v>
      </c>
      <c r="L6" s="5">
        <f t="shared" si="4"/>
        <v>42500</v>
      </c>
      <c r="M6" s="38">
        <f t="shared" si="5"/>
        <v>0</v>
      </c>
      <c r="N6" s="38">
        <v>0</v>
      </c>
      <c r="O6" s="34" t="s">
        <v>84</v>
      </c>
      <c r="P6" s="41">
        <f>$L$48</f>
        <v>61500</v>
      </c>
      <c r="Q6" s="46">
        <v>0</v>
      </c>
      <c r="R6" s="47">
        <f>$L$46</f>
        <v>66000</v>
      </c>
      <c r="S6" s="38">
        <f t="shared" si="6"/>
        <v>0</v>
      </c>
      <c r="T6" s="42"/>
      <c r="U6" s="38"/>
      <c r="V6" s="38"/>
      <c r="W6" s="38"/>
      <c r="X6" s="38"/>
      <c r="Y6" s="38"/>
      <c r="Z6" s="38"/>
      <c r="AA6" s="38"/>
      <c r="AB6" s="44">
        <f t="shared" si="7"/>
        <v>1338000</v>
      </c>
    </row>
    <row r="7" spans="1:31" ht="14.45" x14ac:dyDescent="0.3">
      <c r="A7">
        <v>3</v>
      </c>
      <c r="B7" s="9" t="s">
        <v>85</v>
      </c>
      <c r="C7" s="9" t="s">
        <v>171</v>
      </c>
      <c r="D7" s="9" t="s">
        <v>86</v>
      </c>
      <c r="E7">
        <v>0</v>
      </c>
      <c r="F7" s="5">
        <f t="shared" si="0"/>
        <v>28500</v>
      </c>
      <c r="G7" s="38">
        <f t="shared" si="1"/>
        <v>0</v>
      </c>
      <c r="H7">
        <v>27</v>
      </c>
      <c r="I7" s="5">
        <f t="shared" si="2"/>
        <v>34500</v>
      </c>
      <c r="J7" s="39">
        <f t="shared" si="3"/>
        <v>931500</v>
      </c>
      <c r="K7">
        <v>0</v>
      </c>
      <c r="L7" s="5">
        <f t="shared" si="4"/>
        <v>42500</v>
      </c>
      <c r="M7" s="38">
        <f t="shared" si="5"/>
        <v>0</v>
      </c>
      <c r="N7" s="40">
        <f>$L$41</f>
        <v>17500</v>
      </c>
      <c r="O7" s="34" t="s">
        <v>84</v>
      </c>
      <c r="P7" s="41">
        <f>$L$48</f>
        <v>61500</v>
      </c>
      <c r="Q7" s="42"/>
      <c r="R7" s="43"/>
      <c r="S7" s="38">
        <f t="shared" si="6"/>
        <v>0</v>
      </c>
      <c r="T7" s="42"/>
      <c r="U7" s="41">
        <v>0</v>
      </c>
      <c r="V7" s="41"/>
      <c r="W7" s="41"/>
      <c r="X7" s="41"/>
      <c r="Y7" s="41"/>
      <c r="Z7" s="41"/>
      <c r="AA7" s="41"/>
      <c r="AB7" s="44">
        <f t="shared" si="7"/>
        <v>1010500</v>
      </c>
    </row>
    <row r="8" spans="1:31" ht="14.45" x14ac:dyDescent="0.3">
      <c r="A8">
        <v>4</v>
      </c>
      <c r="B8" s="9" t="s">
        <v>154</v>
      </c>
      <c r="C8" s="9" t="s">
        <v>169</v>
      </c>
      <c r="D8" s="9" t="s">
        <v>98</v>
      </c>
      <c r="E8">
        <v>4</v>
      </c>
      <c r="F8" s="5">
        <f t="shared" si="0"/>
        <v>28500</v>
      </c>
      <c r="G8" s="38">
        <f t="shared" si="1"/>
        <v>114000</v>
      </c>
      <c r="H8">
        <v>28</v>
      </c>
      <c r="I8" s="5">
        <f t="shared" si="2"/>
        <v>34500</v>
      </c>
      <c r="J8" s="39">
        <f t="shared" si="3"/>
        <v>966000</v>
      </c>
      <c r="K8">
        <v>0</v>
      </c>
      <c r="L8" s="5">
        <f t="shared" si="4"/>
        <v>42500</v>
      </c>
      <c r="M8" s="38">
        <f t="shared" si="5"/>
        <v>0</v>
      </c>
      <c r="N8" s="40">
        <f>$L$41</f>
        <v>17500</v>
      </c>
      <c r="O8" s="34" t="s">
        <v>84</v>
      </c>
      <c r="P8" s="41">
        <f>$L$48</f>
        <v>61500</v>
      </c>
      <c r="Q8" s="42"/>
      <c r="R8" s="43"/>
      <c r="S8" s="38">
        <f t="shared" si="6"/>
        <v>0</v>
      </c>
      <c r="T8" s="42"/>
      <c r="U8" s="38"/>
      <c r="V8" s="38"/>
      <c r="W8" s="38"/>
      <c r="X8" s="38"/>
      <c r="Y8" s="38"/>
      <c r="Z8" s="38"/>
      <c r="AA8" s="38"/>
      <c r="AB8" s="44">
        <f t="shared" si="7"/>
        <v>1159000</v>
      </c>
    </row>
    <row r="9" spans="1:31" ht="14.45" x14ac:dyDescent="0.3">
      <c r="A9">
        <v>6</v>
      </c>
      <c r="B9" s="9" t="s">
        <v>107</v>
      </c>
      <c r="C9" s="9" t="s">
        <v>150</v>
      </c>
      <c r="D9" s="9" t="s">
        <v>108</v>
      </c>
      <c r="E9">
        <v>14</v>
      </c>
      <c r="F9" s="5">
        <f t="shared" si="0"/>
        <v>28500</v>
      </c>
      <c r="G9" s="38">
        <f t="shared" si="1"/>
        <v>399000</v>
      </c>
      <c r="H9">
        <v>2</v>
      </c>
      <c r="I9" s="5">
        <f t="shared" si="2"/>
        <v>34500</v>
      </c>
      <c r="J9" s="39">
        <f t="shared" si="3"/>
        <v>69000</v>
      </c>
      <c r="K9">
        <v>0</v>
      </c>
      <c r="L9" s="5">
        <f t="shared" si="4"/>
        <v>42500</v>
      </c>
      <c r="M9" s="38">
        <f t="shared" si="5"/>
        <v>0</v>
      </c>
      <c r="N9" s="40">
        <f>$L$41</f>
        <v>17500</v>
      </c>
      <c r="P9" s="41">
        <f>$L$43</f>
        <v>48000</v>
      </c>
      <c r="Q9" s="42"/>
      <c r="R9" s="43"/>
      <c r="S9" s="38">
        <f t="shared" si="6"/>
        <v>0</v>
      </c>
      <c r="T9" s="42"/>
      <c r="U9" s="41">
        <v>0</v>
      </c>
      <c r="V9" s="41"/>
      <c r="W9" s="41"/>
      <c r="X9" s="41"/>
      <c r="Y9" s="41"/>
      <c r="Z9" s="41"/>
      <c r="AA9" s="41"/>
      <c r="AB9" s="44">
        <f t="shared" si="7"/>
        <v>533500</v>
      </c>
    </row>
    <row r="10" spans="1:31" ht="14.45" x14ac:dyDescent="0.3">
      <c r="A10">
        <v>9</v>
      </c>
      <c r="B10" s="9" t="s">
        <v>91</v>
      </c>
      <c r="C10" s="9" t="s">
        <v>155</v>
      </c>
      <c r="D10" s="9" t="s">
        <v>92</v>
      </c>
      <c r="E10">
        <v>0</v>
      </c>
      <c r="F10" s="5">
        <f t="shared" si="0"/>
        <v>28500</v>
      </c>
      <c r="G10" s="38">
        <f t="shared" si="1"/>
        <v>0</v>
      </c>
      <c r="H10">
        <v>37</v>
      </c>
      <c r="I10" s="5">
        <f t="shared" si="2"/>
        <v>34500</v>
      </c>
      <c r="J10" s="39">
        <f t="shared" si="3"/>
        <v>1276500</v>
      </c>
      <c r="K10">
        <v>0</v>
      </c>
      <c r="L10" s="5">
        <f t="shared" si="4"/>
        <v>42500</v>
      </c>
      <c r="M10" s="38">
        <f t="shared" si="5"/>
        <v>0</v>
      </c>
      <c r="N10" s="40">
        <f>$L$41</f>
        <v>17500</v>
      </c>
      <c r="O10" s="34" t="s">
        <v>84</v>
      </c>
      <c r="P10" s="41">
        <f>$L$48</f>
        <v>61500</v>
      </c>
      <c r="Q10" s="42"/>
      <c r="R10" s="43"/>
      <c r="S10" s="38">
        <f t="shared" si="6"/>
        <v>0</v>
      </c>
      <c r="T10" s="42"/>
      <c r="U10" s="41">
        <v>0</v>
      </c>
      <c r="V10" s="41"/>
      <c r="W10" s="41"/>
      <c r="X10" s="41"/>
      <c r="Y10" s="41"/>
      <c r="Z10" s="41"/>
      <c r="AA10" s="41"/>
      <c r="AB10" s="44">
        <f t="shared" si="7"/>
        <v>1355500</v>
      </c>
    </row>
    <row r="11" spans="1:31" ht="14.45" x14ac:dyDescent="0.3">
      <c r="A11">
        <v>10</v>
      </c>
      <c r="B11" s="9" t="s">
        <v>95</v>
      </c>
      <c r="C11" s="9" t="s">
        <v>149</v>
      </c>
      <c r="D11" s="9" t="s">
        <v>96</v>
      </c>
      <c r="E11">
        <v>0</v>
      </c>
      <c r="F11" s="5">
        <f t="shared" si="0"/>
        <v>28500</v>
      </c>
      <c r="G11" s="38">
        <f t="shared" si="1"/>
        <v>0</v>
      </c>
      <c r="H11">
        <v>43</v>
      </c>
      <c r="I11" s="5">
        <f t="shared" si="2"/>
        <v>34500</v>
      </c>
      <c r="J11" s="39">
        <f t="shared" si="3"/>
        <v>1483500</v>
      </c>
      <c r="K11">
        <v>0</v>
      </c>
      <c r="L11" s="5">
        <f t="shared" si="4"/>
        <v>42500</v>
      </c>
      <c r="M11" s="38">
        <f t="shared" si="5"/>
        <v>0</v>
      </c>
      <c r="N11" s="38">
        <v>0</v>
      </c>
      <c r="O11" s="34" t="s">
        <v>97</v>
      </c>
      <c r="P11" s="41">
        <f>$L$46</f>
        <v>66000</v>
      </c>
      <c r="Q11" s="42"/>
      <c r="R11" s="43"/>
      <c r="S11" s="38">
        <f t="shared" si="6"/>
        <v>0</v>
      </c>
      <c r="T11" s="42"/>
      <c r="U11" s="38"/>
      <c r="V11" s="38"/>
      <c r="W11" s="38"/>
      <c r="X11" s="38"/>
      <c r="Y11" s="38"/>
      <c r="Z11" s="38"/>
      <c r="AA11" s="38"/>
      <c r="AB11" s="44">
        <f t="shared" si="7"/>
        <v>1549500</v>
      </c>
    </row>
    <row r="12" spans="1:31" ht="14.45" x14ac:dyDescent="0.3">
      <c r="A12">
        <v>11</v>
      </c>
      <c r="B12" s="9" t="s">
        <v>87</v>
      </c>
      <c r="C12" s="9" t="s">
        <v>157</v>
      </c>
      <c r="D12" s="9" t="s">
        <v>88</v>
      </c>
      <c r="E12">
        <v>0</v>
      </c>
      <c r="F12" s="5">
        <f t="shared" si="0"/>
        <v>28500</v>
      </c>
      <c r="G12" s="38">
        <f t="shared" si="1"/>
        <v>0</v>
      </c>
      <c r="H12">
        <v>39</v>
      </c>
      <c r="I12" s="5">
        <f t="shared" si="2"/>
        <v>34500</v>
      </c>
      <c r="J12" s="39">
        <f t="shared" si="3"/>
        <v>1345500</v>
      </c>
      <c r="K12">
        <v>0</v>
      </c>
      <c r="L12" s="5">
        <f t="shared" si="4"/>
        <v>42500</v>
      </c>
      <c r="M12" s="38">
        <f t="shared" si="5"/>
        <v>0</v>
      </c>
      <c r="N12" s="40">
        <f>$L$41</f>
        <v>17500</v>
      </c>
      <c r="O12" s="34" t="s">
        <v>84</v>
      </c>
      <c r="P12" s="41">
        <f>$L$48</f>
        <v>61500</v>
      </c>
      <c r="Q12" s="42"/>
      <c r="R12" s="43"/>
      <c r="S12" s="38">
        <f t="shared" si="6"/>
        <v>0</v>
      </c>
      <c r="T12" s="42"/>
      <c r="U12" s="41">
        <v>0</v>
      </c>
      <c r="V12" s="41"/>
      <c r="W12" s="41"/>
      <c r="X12" s="41"/>
      <c r="Y12" s="41"/>
      <c r="Z12" s="41"/>
      <c r="AA12" s="41"/>
      <c r="AB12" s="44">
        <f t="shared" si="7"/>
        <v>1424500</v>
      </c>
    </row>
    <row r="13" spans="1:31" ht="14.45" x14ac:dyDescent="0.3">
      <c r="A13">
        <v>12</v>
      </c>
      <c r="B13" s="9" t="s">
        <v>89</v>
      </c>
      <c r="C13" s="9" t="s">
        <v>156</v>
      </c>
      <c r="D13" s="9" t="s">
        <v>90</v>
      </c>
      <c r="E13">
        <v>3</v>
      </c>
      <c r="F13" s="5">
        <f t="shared" si="0"/>
        <v>28500</v>
      </c>
      <c r="G13" s="38">
        <f t="shared" si="1"/>
        <v>85500</v>
      </c>
      <c r="H13">
        <v>32</v>
      </c>
      <c r="I13" s="5">
        <f t="shared" si="2"/>
        <v>34500</v>
      </c>
      <c r="J13" s="39">
        <f t="shared" si="3"/>
        <v>1104000</v>
      </c>
      <c r="K13">
        <v>0</v>
      </c>
      <c r="L13" s="5">
        <f t="shared" si="4"/>
        <v>42500</v>
      </c>
      <c r="M13" s="38">
        <f t="shared" si="5"/>
        <v>0</v>
      </c>
      <c r="N13" s="38">
        <v>0</v>
      </c>
      <c r="O13" t="s">
        <v>73</v>
      </c>
      <c r="P13" s="41">
        <f>$L$44</f>
        <v>55000</v>
      </c>
      <c r="Q13" s="42"/>
      <c r="R13" s="43"/>
      <c r="S13" s="38">
        <f t="shared" si="6"/>
        <v>0</v>
      </c>
      <c r="T13" s="42"/>
      <c r="U13" s="38"/>
      <c r="V13" s="38"/>
      <c r="W13" s="38"/>
      <c r="X13" s="38"/>
      <c r="Y13" s="38"/>
      <c r="Z13" s="38"/>
      <c r="AA13" s="38"/>
      <c r="AB13" s="44">
        <f t="shared" si="7"/>
        <v>1244500</v>
      </c>
    </row>
    <row r="14" spans="1:31" ht="14.45" x14ac:dyDescent="0.3">
      <c r="A14">
        <v>14</v>
      </c>
      <c r="B14" s="9" t="s">
        <v>82</v>
      </c>
      <c r="C14" s="9" t="s">
        <v>164</v>
      </c>
      <c r="D14" s="9" t="s">
        <v>83</v>
      </c>
      <c r="E14">
        <v>0</v>
      </c>
      <c r="F14" s="5">
        <f t="shared" si="0"/>
        <v>28500</v>
      </c>
      <c r="G14" s="38">
        <f t="shared" si="1"/>
        <v>0</v>
      </c>
      <c r="H14">
        <v>31</v>
      </c>
      <c r="I14" s="5">
        <f t="shared" si="2"/>
        <v>34500</v>
      </c>
      <c r="J14" s="39">
        <f t="shared" si="3"/>
        <v>1069500</v>
      </c>
      <c r="K14">
        <v>0</v>
      </c>
      <c r="L14" s="5">
        <f t="shared" si="4"/>
        <v>42500</v>
      </c>
      <c r="M14" s="38">
        <f t="shared" si="5"/>
        <v>0</v>
      </c>
      <c r="N14" s="40">
        <f t="shared" ref="N14:N29" si="8">$L$41</f>
        <v>17500</v>
      </c>
      <c r="O14" s="34" t="s">
        <v>84</v>
      </c>
      <c r="P14" s="41">
        <f>$L$48</f>
        <v>61500</v>
      </c>
      <c r="Q14" s="42"/>
      <c r="R14" s="43"/>
      <c r="S14" s="38">
        <f t="shared" si="6"/>
        <v>0</v>
      </c>
      <c r="T14" s="42"/>
      <c r="U14" s="38"/>
      <c r="V14" s="38"/>
      <c r="W14" s="38"/>
      <c r="X14" s="38"/>
      <c r="Y14" s="38"/>
      <c r="Z14" s="38"/>
      <c r="AA14" s="38"/>
      <c r="AB14" s="44">
        <f t="shared" si="7"/>
        <v>1148500</v>
      </c>
    </row>
    <row r="15" spans="1:31" ht="14.45" x14ac:dyDescent="0.3">
      <c r="A15">
        <v>15</v>
      </c>
      <c r="B15" s="9" t="s">
        <v>93</v>
      </c>
      <c r="C15" s="9" t="s">
        <v>170</v>
      </c>
      <c r="D15" s="9" t="s">
        <v>94</v>
      </c>
      <c r="E15">
        <v>4</v>
      </c>
      <c r="F15" s="5">
        <f t="shared" si="0"/>
        <v>28500</v>
      </c>
      <c r="G15" s="38">
        <f t="shared" si="1"/>
        <v>114000</v>
      </c>
      <c r="H15">
        <v>28</v>
      </c>
      <c r="I15" s="5">
        <f t="shared" si="2"/>
        <v>34500</v>
      </c>
      <c r="J15" s="39">
        <f t="shared" si="3"/>
        <v>966000</v>
      </c>
      <c r="K15">
        <v>0</v>
      </c>
      <c r="L15" s="5">
        <f t="shared" si="4"/>
        <v>42500</v>
      </c>
      <c r="M15" s="38">
        <f t="shared" si="5"/>
        <v>0</v>
      </c>
      <c r="N15" s="40">
        <f t="shared" si="8"/>
        <v>17500</v>
      </c>
      <c r="O15" s="34" t="s">
        <v>84</v>
      </c>
      <c r="P15" s="41">
        <f>$L$48</f>
        <v>61500</v>
      </c>
      <c r="Q15" s="42"/>
      <c r="R15" s="43"/>
      <c r="S15" s="38">
        <f t="shared" si="6"/>
        <v>0</v>
      </c>
      <c r="T15" s="42"/>
      <c r="U15" s="38"/>
      <c r="V15" s="38"/>
      <c r="W15" s="38"/>
      <c r="X15" s="38"/>
      <c r="Y15" s="38"/>
      <c r="Z15" s="38"/>
      <c r="AA15" s="38"/>
      <c r="AB15" s="44">
        <f t="shared" si="7"/>
        <v>1159000</v>
      </c>
    </row>
    <row r="16" spans="1:31" ht="14.45" x14ac:dyDescent="0.3">
      <c r="A16">
        <v>17</v>
      </c>
      <c r="B16" s="9" t="s">
        <v>106</v>
      </c>
      <c r="C16" s="9" t="s">
        <v>167</v>
      </c>
      <c r="D16" s="9" t="s">
        <v>102</v>
      </c>
      <c r="E16">
        <v>0</v>
      </c>
      <c r="F16" s="5">
        <f t="shared" si="0"/>
        <v>28500</v>
      </c>
      <c r="G16" s="38">
        <f t="shared" si="1"/>
        <v>0</v>
      </c>
      <c r="H16">
        <v>34</v>
      </c>
      <c r="I16" s="5">
        <f t="shared" si="2"/>
        <v>34500</v>
      </c>
      <c r="J16" s="39">
        <f t="shared" si="3"/>
        <v>1173000</v>
      </c>
      <c r="K16">
        <v>0</v>
      </c>
      <c r="L16" s="5">
        <f t="shared" si="4"/>
        <v>42500</v>
      </c>
      <c r="M16" s="38">
        <f t="shared" si="5"/>
        <v>0</v>
      </c>
      <c r="N16" s="40">
        <f t="shared" si="8"/>
        <v>17500</v>
      </c>
      <c r="O16" s="34" t="s">
        <v>97</v>
      </c>
      <c r="P16" s="41">
        <f>$L$46</f>
        <v>66000</v>
      </c>
      <c r="Q16" s="42"/>
      <c r="R16" s="43"/>
      <c r="S16" s="38">
        <f t="shared" si="6"/>
        <v>0</v>
      </c>
      <c r="T16" s="42"/>
      <c r="U16" s="38"/>
      <c r="V16" s="38"/>
      <c r="W16" s="38"/>
      <c r="X16" s="38"/>
      <c r="Y16" s="38"/>
      <c r="Z16" s="38"/>
      <c r="AA16" s="38"/>
      <c r="AB16" s="44">
        <f t="shared" si="7"/>
        <v>1256500</v>
      </c>
    </row>
    <row r="17" spans="1:28" ht="14.45" x14ac:dyDescent="0.3">
      <c r="A17">
        <v>18</v>
      </c>
      <c r="B17" s="9" t="s">
        <v>101</v>
      </c>
      <c r="C17" s="9" t="s">
        <v>168</v>
      </c>
      <c r="D17" s="9" t="s">
        <v>102</v>
      </c>
      <c r="E17">
        <v>0</v>
      </c>
      <c r="F17" s="5">
        <f t="shared" si="0"/>
        <v>28500</v>
      </c>
      <c r="G17" s="38">
        <f t="shared" si="1"/>
        <v>0</v>
      </c>
      <c r="H17">
        <v>37</v>
      </c>
      <c r="I17" s="5">
        <f t="shared" si="2"/>
        <v>34500</v>
      </c>
      <c r="J17" s="39">
        <f t="shared" si="3"/>
        <v>1276500</v>
      </c>
      <c r="K17">
        <v>0</v>
      </c>
      <c r="L17" s="5">
        <f t="shared" si="4"/>
        <v>42500</v>
      </c>
      <c r="M17" s="38">
        <f t="shared" si="5"/>
        <v>0</v>
      </c>
      <c r="N17" s="40">
        <f t="shared" si="8"/>
        <v>17500</v>
      </c>
      <c r="O17" s="34" t="s">
        <v>84</v>
      </c>
      <c r="P17" s="41">
        <f>$L$48</f>
        <v>61500</v>
      </c>
      <c r="Q17" s="42"/>
      <c r="R17" s="43"/>
      <c r="S17" s="38">
        <f t="shared" si="6"/>
        <v>0</v>
      </c>
      <c r="T17" s="42"/>
      <c r="U17" s="38"/>
      <c r="V17" s="38"/>
      <c r="W17" s="38"/>
      <c r="X17" s="38"/>
      <c r="Y17" s="38"/>
      <c r="Z17" s="38"/>
      <c r="AA17" s="38"/>
      <c r="AB17" s="44">
        <f t="shared" si="7"/>
        <v>1355500</v>
      </c>
    </row>
    <row r="18" spans="1:28" ht="14.45" x14ac:dyDescent="0.3">
      <c r="A18">
        <v>19</v>
      </c>
      <c r="B18" s="9" t="s">
        <v>71</v>
      </c>
      <c r="C18" s="9" t="s">
        <v>160</v>
      </c>
      <c r="D18" s="9" t="s">
        <v>72</v>
      </c>
      <c r="E18">
        <v>11</v>
      </c>
      <c r="F18" s="5">
        <f t="shared" si="0"/>
        <v>28500</v>
      </c>
      <c r="G18" s="38">
        <f t="shared" si="1"/>
        <v>313500</v>
      </c>
      <c r="H18">
        <v>10</v>
      </c>
      <c r="I18" s="5">
        <f t="shared" si="2"/>
        <v>34500</v>
      </c>
      <c r="J18" s="39">
        <f t="shared" si="3"/>
        <v>345000</v>
      </c>
      <c r="K18">
        <v>0</v>
      </c>
      <c r="L18" s="5">
        <f t="shared" si="4"/>
        <v>42500</v>
      </c>
      <c r="M18" s="38">
        <f t="shared" si="5"/>
        <v>0</v>
      </c>
      <c r="N18" s="40">
        <f t="shared" si="8"/>
        <v>17500</v>
      </c>
      <c r="O18" t="s">
        <v>73</v>
      </c>
      <c r="P18" s="41">
        <f>$L$44</f>
        <v>55000</v>
      </c>
      <c r="Q18" s="42"/>
      <c r="R18" s="43"/>
      <c r="S18" s="38">
        <f t="shared" si="6"/>
        <v>0</v>
      </c>
      <c r="T18" s="42"/>
      <c r="U18" s="38"/>
      <c r="V18" s="38"/>
      <c r="W18" s="38"/>
      <c r="X18" s="38"/>
      <c r="Y18" s="38"/>
      <c r="Z18" s="38"/>
      <c r="AA18" s="38"/>
      <c r="AB18" s="44">
        <f t="shared" si="7"/>
        <v>731000</v>
      </c>
    </row>
    <row r="19" spans="1:28" ht="14.45" x14ac:dyDescent="0.3">
      <c r="A19">
        <v>20</v>
      </c>
      <c r="B19" s="9" t="s">
        <v>74</v>
      </c>
      <c r="C19" s="9" t="s">
        <v>161</v>
      </c>
      <c r="D19" s="9" t="s">
        <v>72</v>
      </c>
      <c r="E19">
        <v>12</v>
      </c>
      <c r="F19" s="5">
        <f t="shared" si="0"/>
        <v>28500</v>
      </c>
      <c r="G19" s="38">
        <f t="shared" si="1"/>
        <v>342000</v>
      </c>
      <c r="H19">
        <v>11</v>
      </c>
      <c r="I19" s="5">
        <f t="shared" si="2"/>
        <v>34500</v>
      </c>
      <c r="J19" s="39">
        <f t="shared" si="3"/>
        <v>379500</v>
      </c>
      <c r="K19">
        <v>0</v>
      </c>
      <c r="L19" s="5">
        <f t="shared" si="4"/>
        <v>42500</v>
      </c>
      <c r="M19" s="38">
        <f t="shared" si="5"/>
        <v>0</v>
      </c>
      <c r="N19" s="40">
        <f t="shared" si="8"/>
        <v>17500</v>
      </c>
      <c r="O19" t="s">
        <v>75</v>
      </c>
      <c r="P19" s="41">
        <f>$L$43</f>
        <v>48000</v>
      </c>
      <c r="R19" s="45"/>
      <c r="S19" s="38">
        <f t="shared" si="6"/>
        <v>0</v>
      </c>
      <c r="T19" s="42"/>
      <c r="U19" s="41">
        <v>0</v>
      </c>
      <c r="V19" s="41"/>
      <c r="W19" s="41"/>
      <c r="X19" s="41"/>
      <c r="Y19" s="41"/>
      <c r="Z19" s="41"/>
      <c r="AA19" s="41"/>
      <c r="AB19" s="44">
        <f t="shared" si="7"/>
        <v>787000</v>
      </c>
    </row>
    <row r="20" spans="1:28" ht="14.45" x14ac:dyDescent="0.3">
      <c r="A20">
        <v>21</v>
      </c>
      <c r="B20" s="9" t="s">
        <v>76</v>
      </c>
      <c r="C20" s="9" t="s">
        <v>162</v>
      </c>
      <c r="D20" s="9" t="s">
        <v>72</v>
      </c>
      <c r="E20">
        <v>12</v>
      </c>
      <c r="F20" s="5">
        <f t="shared" si="0"/>
        <v>28500</v>
      </c>
      <c r="G20" s="38">
        <f t="shared" si="1"/>
        <v>342000</v>
      </c>
      <c r="H20">
        <v>11</v>
      </c>
      <c r="I20" s="5">
        <f t="shared" si="2"/>
        <v>34500</v>
      </c>
      <c r="J20" s="39">
        <f t="shared" si="3"/>
        <v>379500</v>
      </c>
      <c r="K20">
        <v>0</v>
      </c>
      <c r="L20" s="5">
        <f t="shared" si="4"/>
        <v>42500</v>
      </c>
      <c r="M20" s="38">
        <f t="shared" si="5"/>
        <v>0</v>
      </c>
      <c r="N20" s="40">
        <f t="shared" si="8"/>
        <v>17500</v>
      </c>
      <c r="O20" t="s">
        <v>73</v>
      </c>
      <c r="P20" s="41">
        <f>$L$44</f>
        <v>55000</v>
      </c>
      <c r="Q20" s="42"/>
      <c r="R20" s="43"/>
      <c r="S20" s="38">
        <f t="shared" si="6"/>
        <v>0</v>
      </c>
      <c r="T20" s="42"/>
      <c r="U20" s="38"/>
      <c r="V20" s="38"/>
      <c r="W20" s="38"/>
      <c r="X20" s="38"/>
      <c r="Y20" s="38"/>
      <c r="Z20" s="38"/>
      <c r="AA20" s="38"/>
      <c r="AB20" s="44">
        <f t="shared" si="7"/>
        <v>794000</v>
      </c>
    </row>
    <row r="21" spans="1:28" ht="14.45" x14ac:dyDescent="0.3">
      <c r="A21">
        <v>22</v>
      </c>
      <c r="B21" s="9" t="s">
        <v>77</v>
      </c>
      <c r="C21" s="9" t="s">
        <v>163</v>
      </c>
      <c r="D21" s="9" t="s">
        <v>72</v>
      </c>
      <c r="E21">
        <v>12</v>
      </c>
      <c r="F21" s="5">
        <f t="shared" si="0"/>
        <v>28500</v>
      </c>
      <c r="G21" s="38">
        <f t="shared" si="1"/>
        <v>342000</v>
      </c>
      <c r="H21">
        <v>11</v>
      </c>
      <c r="I21" s="5">
        <f t="shared" si="2"/>
        <v>34500</v>
      </c>
      <c r="J21" s="39">
        <f t="shared" si="3"/>
        <v>379500</v>
      </c>
      <c r="K21">
        <v>0</v>
      </c>
      <c r="L21" s="5">
        <f t="shared" si="4"/>
        <v>42500</v>
      </c>
      <c r="M21" s="38">
        <f t="shared" si="5"/>
        <v>0</v>
      </c>
      <c r="N21" s="40">
        <f t="shared" si="8"/>
        <v>17500</v>
      </c>
      <c r="O21" t="s">
        <v>73</v>
      </c>
      <c r="P21" s="41">
        <f>$L$44</f>
        <v>55000</v>
      </c>
      <c r="Q21" s="42"/>
      <c r="R21" s="43"/>
      <c r="S21" s="38">
        <f t="shared" si="6"/>
        <v>0</v>
      </c>
      <c r="T21" s="42"/>
      <c r="U21" s="41">
        <v>0</v>
      </c>
      <c r="V21" s="41"/>
      <c r="W21" s="41"/>
      <c r="X21" s="41"/>
      <c r="Y21" s="41"/>
      <c r="Z21" s="41"/>
      <c r="AA21" s="41"/>
      <c r="AB21" s="44">
        <f t="shared" si="7"/>
        <v>794000</v>
      </c>
    </row>
    <row r="22" spans="1:28" ht="14.45" x14ac:dyDescent="0.3">
      <c r="A22">
        <v>23</v>
      </c>
      <c r="B22" s="9" t="s">
        <v>78</v>
      </c>
      <c r="C22" s="9" t="s">
        <v>172</v>
      </c>
      <c r="D22" s="9" t="s">
        <v>72</v>
      </c>
      <c r="E22">
        <v>0</v>
      </c>
      <c r="F22" s="5">
        <f t="shared" si="0"/>
        <v>28500</v>
      </c>
      <c r="G22" s="38">
        <f t="shared" si="1"/>
        <v>0</v>
      </c>
      <c r="H22">
        <v>36</v>
      </c>
      <c r="I22" s="5">
        <f t="shared" si="2"/>
        <v>34500</v>
      </c>
      <c r="J22" s="39">
        <f t="shared" si="3"/>
        <v>1242000</v>
      </c>
      <c r="K22">
        <v>2</v>
      </c>
      <c r="L22" s="5">
        <f t="shared" si="4"/>
        <v>42500</v>
      </c>
      <c r="M22" s="38">
        <f t="shared" si="5"/>
        <v>85000</v>
      </c>
      <c r="N22" s="40">
        <f t="shared" si="8"/>
        <v>17500</v>
      </c>
      <c r="P22" s="41"/>
      <c r="Q22" s="42"/>
      <c r="R22" s="43"/>
      <c r="S22" s="38">
        <f t="shared" si="6"/>
        <v>0</v>
      </c>
      <c r="T22" s="42"/>
      <c r="U22" s="38"/>
      <c r="V22" s="38"/>
      <c r="W22" s="38"/>
      <c r="X22" s="38"/>
      <c r="Y22" s="38"/>
      <c r="Z22" s="38"/>
      <c r="AA22" s="38"/>
      <c r="AB22" s="44">
        <f t="shared" si="7"/>
        <v>1344500</v>
      </c>
    </row>
    <row r="23" spans="1:28" ht="14.45" x14ac:dyDescent="0.3">
      <c r="A23">
        <v>24</v>
      </c>
      <c r="B23" s="9" t="s">
        <v>115</v>
      </c>
      <c r="C23" s="9" t="s">
        <v>166</v>
      </c>
      <c r="D23" s="9" t="s">
        <v>80</v>
      </c>
      <c r="E23">
        <v>4</v>
      </c>
      <c r="F23" s="5">
        <f t="shared" si="0"/>
        <v>28500</v>
      </c>
      <c r="G23" s="38">
        <f t="shared" si="1"/>
        <v>114000</v>
      </c>
      <c r="H23">
        <v>18</v>
      </c>
      <c r="I23" s="5">
        <f t="shared" si="2"/>
        <v>34500</v>
      </c>
      <c r="J23" s="39">
        <f t="shared" si="3"/>
        <v>621000</v>
      </c>
      <c r="K23">
        <v>0</v>
      </c>
      <c r="L23" s="5">
        <f t="shared" si="4"/>
        <v>42500</v>
      </c>
      <c r="M23" s="38">
        <v>0</v>
      </c>
      <c r="N23" s="40">
        <f t="shared" si="8"/>
        <v>17500</v>
      </c>
      <c r="O23" s="34" t="s">
        <v>81</v>
      </c>
      <c r="P23" s="41">
        <f t="shared" ref="P23:P29" si="9">$L$48</f>
        <v>61500</v>
      </c>
      <c r="Q23" s="42"/>
      <c r="R23" s="43"/>
      <c r="S23" s="38">
        <f t="shared" si="6"/>
        <v>0</v>
      </c>
      <c r="T23" s="42"/>
      <c r="U23" s="38"/>
      <c r="V23" s="38"/>
      <c r="W23" s="38"/>
      <c r="X23" s="38"/>
      <c r="Y23" s="38"/>
      <c r="Z23" s="38"/>
      <c r="AA23" s="38"/>
      <c r="AB23" s="44">
        <f t="shared" si="7"/>
        <v>814000</v>
      </c>
    </row>
    <row r="24" spans="1:28" ht="14.45" x14ac:dyDescent="0.3">
      <c r="A24">
        <v>25</v>
      </c>
      <c r="B24" s="9" t="s">
        <v>79</v>
      </c>
      <c r="C24" s="9" t="s">
        <v>173</v>
      </c>
      <c r="D24" s="9" t="s">
        <v>80</v>
      </c>
      <c r="E24">
        <v>2</v>
      </c>
      <c r="F24" s="5">
        <f t="shared" si="0"/>
        <v>28500</v>
      </c>
      <c r="G24" s="38">
        <f t="shared" si="1"/>
        <v>57000</v>
      </c>
      <c r="H24">
        <v>33</v>
      </c>
      <c r="I24" s="5">
        <f t="shared" si="2"/>
        <v>34500</v>
      </c>
      <c r="J24" s="39">
        <f t="shared" si="3"/>
        <v>1138500</v>
      </c>
      <c r="K24">
        <v>0</v>
      </c>
      <c r="L24" s="5">
        <f t="shared" si="4"/>
        <v>42500</v>
      </c>
      <c r="M24" s="38">
        <f t="shared" ref="M24:M31" si="10">SUM(K24*L24)</f>
        <v>0</v>
      </c>
      <c r="N24" s="40">
        <f t="shared" si="8"/>
        <v>17500</v>
      </c>
      <c r="O24" s="34" t="s">
        <v>81</v>
      </c>
      <c r="P24" s="41">
        <f t="shared" si="9"/>
        <v>61500</v>
      </c>
      <c r="Q24" s="42"/>
      <c r="R24" s="43"/>
      <c r="S24" s="38">
        <f t="shared" si="6"/>
        <v>0</v>
      </c>
      <c r="T24" s="42"/>
      <c r="U24" s="38"/>
      <c r="V24" s="38"/>
      <c r="W24" s="38"/>
      <c r="X24" s="38"/>
      <c r="Y24" s="38"/>
      <c r="Z24" s="38"/>
      <c r="AA24" s="38"/>
      <c r="AB24" s="44">
        <f t="shared" si="7"/>
        <v>1274500</v>
      </c>
    </row>
    <row r="25" spans="1:28" ht="14.45" x14ac:dyDescent="0.3">
      <c r="A25">
        <v>26</v>
      </c>
      <c r="B25" s="9" t="s">
        <v>110</v>
      </c>
      <c r="C25" s="9" t="s">
        <v>147</v>
      </c>
      <c r="D25" s="9" t="s">
        <v>80</v>
      </c>
      <c r="E25">
        <v>2</v>
      </c>
      <c r="F25" s="5">
        <f t="shared" si="0"/>
        <v>28500</v>
      </c>
      <c r="G25" s="38">
        <f t="shared" si="1"/>
        <v>57000</v>
      </c>
      <c r="H25">
        <v>35</v>
      </c>
      <c r="I25" s="5">
        <f t="shared" si="2"/>
        <v>34500</v>
      </c>
      <c r="J25" s="39">
        <f t="shared" si="3"/>
        <v>1207500</v>
      </c>
      <c r="K25">
        <v>0</v>
      </c>
      <c r="L25" s="5">
        <f t="shared" si="4"/>
        <v>42500</v>
      </c>
      <c r="M25" s="38">
        <f t="shared" si="10"/>
        <v>0</v>
      </c>
      <c r="N25" s="40">
        <f t="shared" si="8"/>
        <v>17500</v>
      </c>
      <c r="O25" s="34" t="s">
        <v>84</v>
      </c>
      <c r="P25" s="41">
        <f t="shared" si="9"/>
        <v>61500</v>
      </c>
      <c r="Q25" s="42"/>
      <c r="R25" s="43"/>
      <c r="S25" s="38">
        <f t="shared" si="6"/>
        <v>0</v>
      </c>
      <c r="T25" s="42"/>
      <c r="U25" s="41">
        <v>0</v>
      </c>
      <c r="V25" s="41"/>
      <c r="W25" s="41"/>
      <c r="X25" s="41"/>
      <c r="Y25" s="41"/>
      <c r="Z25" s="41"/>
      <c r="AA25" s="41"/>
      <c r="AB25" s="44">
        <f t="shared" si="7"/>
        <v>1343500</v>
      </c>
    </row>
    <row r="26" spans="1:28" ht="14.45" x14ac:dyDescent="0.3">
      <c r="A26">
        <v>27</v>
      </c>
      <c r="B26" s="9" t="s">
        <v>109</v>
      </c>
      <c r="C26" s="9" t="s">
        <v>146</v>
      </c>
      <c r="D26" s="9" t="s">
        <v>80</v>
      </c>
      <c r="E26">
        <v>0</v>
      </c>
      <c r="F26" s="5">
        <f t="shared" si="0"/>
        <v>28500</v>
      </c>
      <c r="G26" s="38">
        <f t="shared" si="1"/>
        <v>0</v>
      </c>
      <c r="H26">
        <v>40</v>
      </c>
      <c r="I26" s="5">
        <f t="shared" si="2"/>
        <v>34500</v>
      </c>
      <c r="J26" s="39">
        <f t="shared" si="3"/>
        <v>1380000</v>
      </c>
      <c r="K26">
        <v>0</v>
      </c>
      <c r="L26" s="5">
        <f t="shared" si="4"/>
        <v>42500</v>
      </c>
      <c r="M26" s="38">
        <f t="shared" si="10"/>
        <v>0</v>
      </c>
      <c r="N26" s="40">
        <f t="shared" si="8"/>
        <v>17500</v>
      </c>
      <c r="O26" s="34" t="s">
        <v>81</v>
      </c>
      <c r="P26" s="41">
        <f t="shared" si="9"/>
        <v>61500</v>
      </c>
      <c r="Q26" s="46">
        <v>4</v>
      </c>
      <c r="R26" s="47">
        <f>$L$46</f>
        <v>66000</v>
      </c>
      <c r="S26" s="38">
        <f t="shared" si="6"/>
        <v>264000</v>
      </c>
      <c r="T26" s="42"/>
      <c r="U26" s="41">
        <v>0</v>
      </c>
      <c r="V26" s="41"/>
      <c r="W26" s="41"/>
      <c r="X26" s="41"/>
      <c r="Y26" s="41"/>
      <c r="Z26" s="41"/>
      <c r="AA26" s="41"/>
      <c r="AB26" s="44">
        <f t="shared" si="7"/>
        <v>1723000</v>
      </c>
    </row>
    <row r="27" spans="1:28" ht="14.45" x14ac:dyDescent="0.3">
      <c r="A27">
        <v>29</v>
      </c>
      <c r="B27" s="9" t="s">
        <v>113</v>
      </c>
      <c r="C27" s="9" t="s">
        <v>148</v>
      </c>
      <c r="D27" s="9" t="s">
        <v>80</v>
      </c>
      <c r="E27">
        <v>0</v>
      </c>
      <c r="F27" s="5">
        <f t="shared" si="0"/>
        <v>28500</v>
      </c>
      <c r="G27" s="38">
        <f t="shared" si="1"/>
        <v>0</v>
      </c>
      <c r="H27">
        <v>41</v>
      </c>
      <c r="I27" s="5">
        <f t="shared" si="2"/>
        <v>34500</v>
      </c>
      <c r="J27" s="39">
        <f t="shared" si="3"/>
        <v>1414500</v>
      </c>
      <c r="K27">
        <v>0</v>
      </c>
      <c r="L27" s="5">
        <f t="shared" si="4"/>
        <v>42500</v>
      </c>
      <c r="M27" s="38">
        <f t="shared" si="10"/>
        <v>0</v>
      </c>
      <c r="N27" s="40">
        <f t="shared" si="8"/>
        <v>17500</v>
      </c>
      <c r="O27" s="34" t="s">
        <v>81</v>
      </c>
      <c r="P27" s="41">
        <f t="shared" si="9"/>
        <v>61500</v>
      </c>
      <c r="Q27" s="42"/>
      <c r="R27" s="43"/>
      <c r="S27" s="38">
        <f t="shared" si="6"/>
        <v>0</v>
      </c>
      <c r="T27" s="42" t="s">
        <v>114</v>
      </c>
      <c r="U27" s="41">
        <f>$L$37</f>
        <v>28500</v>
      </c>
      <c r="V27" s="41"/>
      <c r="W27" s="41"/>
      <c r="X27" s="41"/>
      <c r="Y27" s="41"/>
      <c r="Z27" s="41"/>
      <c r="AA27" s="41"/>
      <c r="AB27" s="44">
        <f t="shared" si="7"/>
        <v>1522000</v>
      </c>
    </row>
    <row r="28" spans="1:28" ht="14.45" x14ac:dyDescent="0.3">
      <c r="A28">
        <v>30</v>
      </c>
      <c r="B28" s="9" t="s">
        <v>103</v>
      </c>
      <c r="C28" s="9" t="s">
        <v>145</v>
      </c>
      <c r="D28" s="9" t="s">
        <v>104</v>
      </c>
      <c r="E28">
        <v>3</v>
      </c>
      <c r="F28" s="5">
        <f t="shared" si="0"/>
        <v>28500</v>
      </c>
      <c r="G28" s="38">
        <f t="shared" si="1"/>
        <v>85500</v>
      </c>
      <c r="H28">
        <v>34</v>
      </c>
      <c r="I28" s="5">
        <f t="shared" si="2"/>
        <v>34500</v>
      </c>
      <c r="J28" s="39">
        <f t="shared" si="3"/>
        <v>1173000</v>
      </c>
      <c r="K28">
        <v>0</v>
      </c>
      <c r="L28" s="5">
        <f t="shared" si="4"/>
        <v>42500</v>
      </c>
      <c r="M28" s="38">
        <f t="shared" si="10"/>
        <v>0</v>
      </c>
      <c r="N28" s="40">
        <f t="shared" si="8"/>
        <v>17500</v>
      </c>
      <c r="O28" s="34" t="s">
        <v>81</v>
      </c>
      <c r="P28" s="41">
        <f t="shared" si="9"/>
        <v>61500</v>
      </c>
      <c r="Q28" s="42"/>
      <c r="R28" s="43"/>
      <c r="S28" s="38">
        <f t="shared" si="6"/>
        <v>0</v>
      </c>
      <c r="T28" s="42"/>
      <c r="U28" s="38"/>
      <c r="V28" s="38"/>
      <c r="W28" s="38"/>
      <c r="X28" s="38"/>
      <c r="Y28" s="38"/>
      <c r="Z28" s="38"/>
      <c r="AA28" s="38"/>
      <c r="AB28" s="44">
        <f t="shared" si="7"/>
        <v>1337500</v>
      </c>
    </row>
    <row r="29" spans="1:28" ht="14.45" x14ac:dyDescent="0.3">
      <c r="A29">
        <v>31</v>
      </c>
      <c r="B29" s="9" t="s">
        <v>105</v>
      </c>
      <c r="C29" s="9" t="s">
        <v>144</v>
      </c>
      <c r="D29" s="9" t="s">
        <v>80</v>
      </c>
      <c r="E29">
        <v>0</v>
      </c>
      <c r="F29" s="5">
        <f t="shared" si="0"/>
        <v>28500</v>
      </c>
      <c r="G29" s="38">
        <f t="shared" si="1"/>
        <v>0</v>
      </c>
      <c r="H29">
        <v>28</v>
      </c>
      <c r="I29" s="5">
        <f t="shared" si="2"/>
        <v>34500</v>
      </c>
      <c r="J29" s="39">
        <f t="shared" si="3"/>
        <v>966000</v>
      </c>
      <c r="K29">
        <v>0</v>
      </c>
      <c r="L29" s="5">
        <f t="shared" si="4"/>
        <v>42500</v>
      </c>
      <c r="M29" s="38">
        <f t="shared" si="10"/>
        <v>0</v>
      </c>
      <c r="N29" s="40">
        <f t="shared" si="8"/>
        <v>17500</v>
      </c>
      <c r="O29" s="34" t="s">
        <v>84</v>
      </c>
      <c r="P29" s="41">
        <f t="shared" si="9"/>
        <v>61500</v>
      </c>
      <c r="Q29" s="42"/>
      <c r="R29" s="43"/>
      <c r="S29" s="38">
        <f t="shared" si="6"/>
        <v>0</v>
      </c>
      <c r="T29" s="42"/>
      <c r="U29" s="38"/>
      <c r="V29" s="38"/>
      <c r="W29" s="38"/>
      <c r="X29" s="38"/>
      <c r="Y29" s="38"/>
      <c r="Z29" s="38"/>
      <c r="AA29" s="38"/>
      <c r="AB29" s="44">
        <f t="shared" si="7"/>
        <v>1045000</v>
      </c>
    </row>
    <row r="30" spans="1:28" ht="14.45" x14ac:dyDescent="0.3">
      <c r="A30">
        <v>32</v>
      </c>
      <c r="B30" s="9" t="s">
        <v>118</v>
      </c>
      <c r="C30" s="9" t="s">
        <v>152</v>
      </c>
      <c r="D30" s="9" t="s">
        <v>80</v>
      </c>
      <c r="E30">
        <v>0</v>
      </c>
      <c r="F30" s="5">
        <f t="shared" si="0"/>
        <v>28500</v>
      </c>
      <c r="G30" s="38">
        <f t="shared" si="1"/>
        <v>0</v>
      </c>
      <c r="H30">
        <v>30</v>
      </c>
      <c r="I30" s="5">
        <f t="shared" si="2"/>
        <v>34500</v>
      </c>
      <c r="J30" s="39">
        <f t="shared" si="3"/>
        <v>1035000</v>
      </c>
      <c r="K30">
        <v>0</v>
      </c>
      <c r="L30" s="5">
        <f t="shared" si="4"/>
        <v>42500</v>
      </c>
      <c r="M30" s="38">
        <f t="shared" si="10"/>
        <v>0</v>
      </c>
      <c r="N30" s="38">
        <v>0</v>
      </c>
      <c r="O30" s="34" t="s">
        <v>119</v>
      </c>
      <c r="P30" s="41">
        <f>$L$47</f>
        <v>54000</v>
      </c>
      <c r="Q30" s="42"/>
      <c r="R30" s="43"/>
      <c r="S30" s="38">
        <f t="shared" si="6"/>
        <v>0</v>
      </c>
      <c r="T30" s="42"/>
      <c r="U30" s="40">
        <v>0</v>
      </c>
      <c r="V30" s="38"/>
      <c r="W30" s="38"/>
      <c r="X30" s="38"/>
      <c r="Y30" s="38"/>
      <c r="Z30" s="38"/>
      <c r="AA30" s="38"/>
      <c r="AB30" s="44">
        <f t="shared" si="7"/>
        <v>1089000</v>
      </c>
    </row>
    <row r="31" spans="1:28" ht="14.45" x14ac:dyDescent="0.3">
      <c r="A31">
        <v>33</v>
      </c>
      <c r="B31" s="9" t="s">
        <v>116</v>
      </c>
      <c r="C31" s="9" t="s">
        <v>151</v>
      </c>
      <c r="D31" s="9" t="s">
        <v>117</v>
      </c>
      <c r="E31">
        <v>0</v>
      </c>
      <c r="F31" s="5">
        <f t="shared" si="0"/>
        <v>28500</v>
      </c>
      <c r="G31" s="38">
        <f t="shared" si="1"/>
        <v>0</v>
      </c>
      <c r="H31">
        <v>30</v>
      </c>
      <c r="I31" s="5">
        <f t="shared" si="2"/>
        <v>34500</v>
      </c>
      <c r="J31" s="39">
        <f t="shared" si="3"/>
        <v>1035000</v>
      </c>
      <c r="K31">
        <v>2</v>
      </c>
      <c r="L31" s="5">
        <f t="shared" si="4"/>
        <v>42500</v>
      </c>
      <c r="M31" s="38">
        <f t="shared" si="10"/>
        <v>85000</v>
      </c>
      <c r="N31" s="40">
        <f>$L$41</f>
        <v>17500</v>
      </c>
      <c r="O31" s="34" t="s">
        <v>81</v>
      </c>
      <c r="P31" s="41">
        <f>$L$48</f>
        <v>61500</v>
      </c>
      <c r="Q31" s="42"/>
      <c r="R31" s="43"/>
      <c r="S31" s="38">
        <f t="shared" si="6"/>
        <v>0</v>
      </c>
      <c r="T31" s="42"/>
      <c r="U31" s="38"/>
      <c r="V31" s="38"/>
      <c r="W31" s="38"/>
      <c r="X31" s="38"/>
      <c r="Y31" s="38"/>
      <c r="Z31" s="38"/>
      <c r="AA31" s="38"/>
      <c r="AB31" s="44">
        <f t="shared" si="7"/>
        <v>1199000</v>
      </c>
    </row>
    <row r="32" spans="1:28" ht="14.45" x14ac:dyDescent="0.3">
      <c r="B32" s="48"/>
      <c r="C32" s="48"/>
      <c r="D32" s="48"/>
      <c r="E32">
        <f>SUM(E5:E31)</f>
        <v>83</v>
      </c>
      <c r="F32" s="5"/>
      <c r="G32" s="39">
        <f>SUM(G5:G31)</f>
        <v>2365500</v>
      </c>
      <c r="H32">
        <f>SUM(H5:H31)</f>
        <v>779</v>
      </c>
      <c r="I32" s="5"/>
      <c r="J32" s="39">
        <f>SUM(J5:J31)</f>
        <v>26875500</v>
      </c>
      <c r="K32">
        <f>SUM(K5:K31)</f>
        <v>12</v>
      </c>
      <c r="L32" s="5"/>
      <c r="M32" s="39">
        <f>SUM(M5:M31)</f>
        <v>510000</v>
      </c>
      <c r="N32" s="40">
        <f>SUM(N5:N31)</f>
        <v>402500</v>
      </c>
      <c r="O32" s="34"/>
      <c r="P32" s="41">
        <f>SUM(P5:P31)</f>
        <v>1547500</v>
      </c>
      <c r="Q32" s="42"/>
      <c r="R32" s="43"/>
      <c r="S32" s="41">
        <f>SUM(S5:S31)</f>
        <v>264000</v>
      </c>
      <c r="T32" s="42"/>
      <c r="U32" s="41">
        <f>SUM(U5:U31)</f>
        <v>28500</v>
      </c>
      <c r="V32" s="38"/>
      <c r="W32" s="38"/>
      <c r="X32" s="38"/>
      <c r="Y32" s="38"/>
      <c r="Z32" s="38"/>
      <c r="AA32" s="38"/>
      <c r="AB32" s="44">
        <f>SUM(AB5:AB31)</f>
        <v>31993500</v>
      </c>
    </row>
    <row r="33" spans="1:31" ht="14.45" x14ac:dyDescent="0.3">
      <c r="A33" s="31" t="s">
        <v>120</v>
      </c>
      <c r="B33" s="48"/>
      <c r="C33" s="48"/>
      <c r="D33" s="48"/>
      <c r="F33" s="5"/>
      <c r="G33" s="38"/>
      <c r="I33" s="5"/>
      <c r="J33" s="39"/>
      <c r="L33" s="5"/>
      <c r="M33" s="38"/>
      <c r="N33" s="38"/>
      <c r="O33" s="34"/>
      <c r="P33" s="41"/>
      <c r="Q33" s="42"/>
      <c r="R33" s="43"/>
      <c r="S33" s="38"/>
      <c r="T33" s="42"/>
      <c r="U33" s="40"/>
      <c r="V33" s="38"/>
      <c r="W33" s="38"/>
      <c r="X33" s="38"/>
      <c r="Y33" s="38"/>
      <c r="Z33" s="38"/>
      <c r="AA33" s="38"/>
      <c r="AB33" s="44"/>
    </row>
    <row r="34" spans="1:31" ht="14.45" x14ac:dyDescent="0.3">
      <c r="A34" s="45">
        <v>36</v>
      </c>
      <c r="B34" s="49" t="s">
        <v>121</v>
      </c>
      <c r="C34" s="49" t="s">
        <v>174</v>
      </c>
      <c r="D34" s="49" t="s">
        <v>83</v>
      </c>
      <c r="F34" s="5"/>
      <c r="G34" s="38"/>
      <c r="H34">
        <v>20</v>
      </c>
      <c r="I34" s="5">
        <f>$L$38*102.18%</f>
        <v>35252.1</v>
      </c>
      <c r="J34" s="39">
        <f>SUM(H34*I34)+34500</f>
        <v>739542</v>
      </c>
      <c r="L34" s="5">
        <f t="shared" ref="L34:L35" si="11">$L$39</f>
        <v>42500</v>
      </c>
      <c r="M34" s="38"/>
      <c r="N34" s="38"/>
      <c r="O34" s="34"/>
      <c r="P34" s="41"/>
      <c r="Q34" s="42"/>
      <c r="R34" s="43"/>
      <c r="S34" s="38"/>
      <c r="T34" s="42"/>
      <c r="U34" s="38"/>
      <c r="V34" s="38"/>
      <c r="W34" s="38"/>
      <c r="X34" s="38"/>
      <c r="Y34" s="38"/>
      <c r="Z34" s="38"/>
      <c r="AA34" s="38"/>
      <c r="AB34" s="44">
        <f>J34</f>
        <v>739542</v>
      </c>
    </row>
    <row r="35" spans="1:31" ht="14.45" x14ac:dyDescent="0.3">
      <c r="A35" s="45">
        <v>37</v>
      </c>
      <c r="B35" s="49" t="s">
        <v>122</v>
      </c>
      <c r="C35" s="49"/>
      <c r="D35" s="49" t="s">
        <v>83</v>
      </c>
      <c r="F35" s="5"/>
      <c r="G35" s="38"/>
      <c r="I35" s="5"/>
      <c r="J35" s="39"/>
      <c r="K35">
        <v>8</v>
      </c>
      <c r="L35" s="5">
        <f t="shared" si="11"/>
        <v>42500</v>
      </c>
      <c r="M35" s="38">
        <f>SUM(K35*L35)</f>
        <v>340000</v>
      </c>
      <c r="N35" s="38"/>
      <c r="O35" s="34"/>
      <c r="P35" s="41"/>
      <c r="Q35" s="42"/>
      <c r="R35" s="43"/>
      <c r="S35" s="38"/>
      <c r="T35" s="42"/>
      <c r="U35" s="38"/>
      <c r="V35" s="50">
        <v>6</v>
      </c>
      <c r="W35" s="40">
        <f>L49</f>
        <v>50000</v>
      </c>
      <c r="X35" s="38">
        <f>V35*W35</f>
        <v>300000</v>
      </c>
      <c r="Y35" s="50">
        <v>1</v>
      </c>
      <c r="Z35" s="40">
        <f>L40</f>
        <v>53000</v>
      </c>
      <c r="AA35" s="38">
        <f>Y35*Z35</f>
        <v>53000</v>
      </c>
      <c r="AB35" s="44">
        <f>AA35+X35+M35</f>
        <v>693000</v>
      </c>
    </row>
    <row r="36" spans="1:31" s="22" customFormat="1" ht="13.15" x14ac:dyDescent="0.25">
      <c r="B36" s="27"/>
      <c r="C36" s="27"/>
      <c r="D36" s="27"/>
      <c r="E36" s="22">
        <f>E32+E34+E35</f>
        <v>83</v>
      </c>
      <c r="H36" s="22">
        <f>H32+H34+H35</f>
        <v>799</v>
      </c>
      <c r="K36" s="22">
        <f>K32+K34+K35</f>
        <v>20</v>
      </c>
      <c r="O36" s="22">
        <v>25</v>
      </c>
      <c r="Q36" s="22">
        <f>SUM(Q5:Q35)</f>
        <v>4</v>
      </c>
      <c r="T36" s="22">
        <v>1</v>
      </c>
      <c r="V36" s="22">
        <f>SUM(V5:V35)</f>
        <v>6</v>
      </c>
      <c r="Y36" s="22">
        <f>SUM(Y5:Y35)</f>
        <v>1</v>
      </c>
      <c r="AB36" s="51">
        <f>SUM(AB32:AB35)</f>
        <v>33426042</v>
      </c>
    </row>
    <row r="37" spans="1:31" ht="14.45" x14ac:dyDescent="0.3">
      <c r="B37" s="34"/>
      <c r="C37" s="34"/>
      <c r="D37" s="34"/>
      <c r="J37" t="s">
        <v>123</v>
      </c>
      <c r="L37" s="5">
        <v>28500</v>
      </c>
      <c r="O37">
        <v>5</v>
      </c>
      <c r="P37" s="52" t="s">
        <v>124</v>
      </c>
    </row>
    <row r="38" spans="1:31" ht="14.45" x14ac:dyDescent="0.3">
      <c r="B38" s="34"/>
      <c r="C38" s="34"/>
      <c r="D38" s="34"/>
      <c r="F38" s="31" t="s">
        <v>125</v>
      </c>
      <c r="H38" s="52"/>
      <c r="J38" t="s">
        <v>126</v>
      </c>
      <c r="L38" s="5">
        <v>34500</v>
      </c>
      <c r="O38">
        <v>2</v>
      </c>
      <c r="P38" s="52" t="s">
        <v>127</v>
      </c>
      <c r="T38" s="53"/>
    </row>
    <row r="39" spans="1:31" ht="14.45" x14ac:dyDescent="0.3">
      <c r="B39" s="34"/>
      <c r="C39" s="34"/>
      <c r="D39" s="34"/>
      <c r="F39" t="s">
        <v>128</v>
      </c>
      <c r="G39" s="32">
        <f>E36+H36+K36+O36+Q36+T36+V36+Y36</f>
        <v>939</v>
      </c>
      <c r="J39" t="s">
        <v>129</v>
      </c>
      <c r="L39" s="5">
        <v>42500</v>
      </c>
      <c r="O39" s="52">
        <v>18</v>
      </c>
      <c r="P39" t="s">
        <v>130</v>
      </c>
    </row>
    <row r="40" spans="1:31" ht="14.45" x14ac:dyDescent="0.3">
      <c r="B40" s="34"/>
      <c r="C40" s="34"/>
      <c r="G40" s="54"/>
      <c r="I40" s="55"/>
      <c r="J40" t="s">
        <v>131</v>
      </c>
      <c r="L40" s="5">
        <v>53000</v>
      </c>
      <c r="AB40" s="56"/>
    </row>
    <row r="41" spans="1:31" ht="14.45" x14ac:dyDescent="0.3">
      <c r="B41">
        <v>2014</v>
      </c>
      <c r="C41" s="34"/>
      <c r="D41" s="77" t="s">
        <v>132</v>
      </c>
      <c r="E41" s="77"/>
      <c r="F41" t="s">
        <v>49</v>
      </c>
      <c r="G41" s="58">
        <f>G39-G42</f>
        <v>904</v>
      </c>
      <c r="J41" t="s">
        <v>133</v>
      </c>
      <c r="L41" s="5">
        <v>17500</v>
      </c>
      <c r="S41" s="56"/>
      <c r="U41" s="5"/>
      <c r="V41" s="5"/>
      <c r="W41" s="5"/>
      <c r="X41" s="5"/>
      <c r="Y41" s="5"/>
      <c r="Z41" s="5"/>
      <c r="AA41" s="5"/>
      <c r="AB41" s="56"/>
      <c r="AC41" s="56"/>
      <c r="AD41" s="56"/>
      <c r="AE41" s="5"/>
    </row>
    <row r="42" spans="1:31" ht="14.45" x14ac:dyDescent="0.3">
      <c r="B42" s="52" t="s">
        <v>143</v>
      </c>
      <c r="C42" s="34"/>
      <c r="D42" s="34"/>
      <c r="F42" t="s">
        <v>134</v>
      </c>
      <c r="G42" s="58">
        <f>H34+K35+V35+Y35</f>
        <v>35</v>
      </c>
      <c r="J42" t="s">
        <v>135</v>
      </c>
      <c r="L42" s="5">
        <v>38500</v>
      </c>
      <c r="S42" s="56"/>
      <c r="U42" s="5"/>
      <c r="V42" s="5"/>
      <c r="W42" s="5"/>
      <c r="X42" s="5"/>
      <c r="Y42" s="5"/>
      <c r="Z42" s="5"/>
      <c r="AA42" s="5"/>
      <c r="AB42" s="56"/>
      <c r="AC42" s="56"/>
      <c r="AD42" s="56"/>
      <c r="AE42" s="5"/>
    </row>
    <row r="43" spans="1:31" ht="14.45" x14ac:dyDescent="0.3">
      <c r="B43" s="34"/>
      <c r="C43" s="34"/>
      <c r="D43" s="34"/>
      <c r="J43" t="s">
        <v>136</v>
      </c>
      <c r="L43" s="5">
        <v>48000</v>
      </c>
      <c r="S43" s="56"/>
      <c r="U43" s="5"/>
      <c r="V43" s="5"/>
      <c r="W43" s="5"/>
      <c r="X43" s="5"/>
      <c r="Y43" s="5"/>
      <c r="Z43" s="5"/>
      <c r="AA43" s="5"/>
      <c r="AE43" s="5"/>
    </row>
    <row r="44" spans="1:31" ht="14.45" x14ac:dyDescent="0.3">
      <c r="B44" s="34"/>
      <c r="C44" s="34"/>
      <c r="D44" s="34"/>
      <c r="J44" t="s">
        <v>137</v>
      </c>
      <c r="L44" s="5">
        <v>55000</v>
      </c>
      <c r="S44" s="56"/>
      <c r="T44" s="56"/>
      <c r="U44" s="5"/>
      <c r="V44" s="5"/>
      <c r="W44" s="5"/>
      <c r="X44" s="5"/>
      <c r="Y44" s="5"/>
      <c r="Z44" s="5"/>
      <c r="AA44" s="5"/>
      <c r="AE44" s="5"/>
    </row>
    <row r="45" spans="1:31" ht="14.45" x14ac:dyDescent="0.3">
      <c r="J45" t="s">
        <v>138</v>
      </c>
      <c r="L45" s="5">
        <v>60500</v>
      </c>
      <c r="S45" s="56"/>
      <c r="T45" s="56"/>
      <c r="U45" s="5"/>
      <c r="V45" s="5"/>
      <c r="W45" s="5"/>
      <c r="X45" s="5"/>
      <c r="Y45" s="5"/>
      <c r="Z45" s="5"/>
      <c r="AA45" s="5"/>
      <c r="AC45" s="56"/>
      <c r="AD45" s="56"/>
      <c r="AE45" s="5"/>
    </row>
    <row r="46" spans="1:31" ht="14.45" x14ac:dyDescent="0.3">
      <c r="J46" t="s">
        <v>139</v>
      </c>
      <c r="L46" s="5">
        <v>66000</v>
      </c>
      <c r="S46" s="56"/>
      <c r="T46" s="56"/>
      <c r="U46" s="5"/>
      <c r="V46" s="5"/>
      <c r="W46" s="5"/>
      <c r="X46" s="5"/>
      <c r="Y46" s="5"/>
      <c r="Z46" s="5"/>
      <c r="AA46" s="5"/>
      <c r="AC46" s="56"/>
      <c r="AD46" s="56"/>
      <c r="AE46" s="5"/>
    </row>
    <row r="47" spans="1:31" ht="14.45" x14ac:dyDescent="0.3">
      <c r="J47" t="s">
        <v>140</v>
      </c>
      <c r="L47" s="5">
        <v>54000</v>
      </c>
      <c r="S47" s="56"/>
      <c r="T47" s="56"/>
      <c r="U47" s="5"/>
      <c r="V47" s="5"/>
      <c r="W47" s="5"/>
      <c r="X47" s="5"/>
      <c r="Y47" s="5"/>
      <c r="Z47" s="5"/>
      <c r="AA47" s="5"/>
      <c r="AC47" s="56"/>
      <c r="AD47" s="56"/>
      <c r="AE47" s="5"/>
    </row>
    <row r="48" spans="1:31" ht="14.45" x14ac:dyDescent="0.3">
      <c r="J48" t="s">
        <v>141</v>
      </c>
      <c r="L48" s="5">
        <v>61500</v>
      </c>
    </row>
    <row r="49" spans="2:12" ht="14.45" x14ac:dyDescent="0.3">
      <c r="J49" t="s">
        <v>142</v>
      </c>
      <c r="L49" s="5">
        <v>50000</v>
      </c>
    </row>
    <row r="54" spans="2:12" x14ac:dyDescent="0.25">
      <c r="C54" t="s">
        <v>175</v>
      </c>
      <c r="D54" t="s">
        <v>176</v>
      </c>
      <c r="E54" t="s">
        <v>175</v>
      </c>
      <c r="F54" t="s">
        <v>176</v>
      </c>
      <c r="G54" t="s">
        <v>175</v>
      </c>
    </row>
    <row r="55" spans="2:12" x14ac:dyDescent="0.25">
      <c r="C55" s="57" t="s">
        <v>177</v>
      </c>
      <c r="E55" t="s">
        <v>178</v>
      </c>
      <c r="G55" t="s">
        <v>179</v>
      </c>
    </row>
    <row r="56" spans="2:12" x14ac:dyDescent="0.25">
      <c r="B56" s="54" t="s">
        <v>18</v>
      </c>
      <c r="C56" s="52">
        <f>E5+H5+K5</f>
        <v>44</v>
      </c>
      <c r="D56" s="60">
        <f>J5+M5</f>
        <v>1582000</v>
      </c>
    </row>
    <row r="57" spans="2:12" x14ac:dyDescent="0.25">
      <c r="B57" s="54" t="s">
        <v>19</v>
      </c>
      <c r="C57">
        <f>E6+H6</f>
        <v>37</v>
      </c>
      <c r="D57" s="5">
        <f>J6</f>
        <v>1276500</v>
      </c>
    </row>
    <row r="58" spans="2:12" x14ac:dyDescent="0.25">
      <c r="B58" s="54" t="s">
        <v>21</v>
      </c>
      <c r="C58">
        <f>E7+H7</f>
        <v>27</v>
      </c>
      <c r="D58" s="5">
        <f>J7</f>
        <v>931500</v>
      </c>
    </row>
    <row r="59" spans="2:12" x14ac:dyDescent="0.25">
      <c r="B59" s="54" t="s">
        <v>22</v>
      </c>
      <c r="C59">
        <f>E8+H8</f>
        <v>32</v>
      </c>
      <c r="D59" s="5">
        <f>G9+J9</f>
        <v>468000</v>
      </c>
    </row>
    <row r="60" spans="2:12" x14ac:dyDescent="0.25">
      <c r="B60" s="54" t="s">
        <v>23</v>
      </c>
      <c r="C60">
        <f>E9+H9</f>
        <v>16</v>
      </c>
      <c r="D60" s="5">
        <f>G9+J9</f>
        <v>468000</v>
      </c>
    </row>
    <row r="61" spans="2:12" x14ac:dyDescent="0.25">
      <c r="B61" s="54" t="s">
        <v>32</v>
      </c>
      <c r="C61">
        <f>E10+H10+E11+H11+E12+H12</f>
        <v>119</v>
      </c>
      <c r="D61" s="5">
        <f>F10+I10+F11+I11+F12+I12</f>
        <v>189000</v>
      </c>
    </row>
    <row r="62" spans="2:12" x14ac:dyDescent="0.25">
      <c r="B62" s="54" t="s">
        <v>33</v>
      </c>
      <c r="C62">
        <f>E13+H13</f>
        <v>35</v>
      </c>
      <c r="D62" s="5">
        <f>F13+I13</f>
        <v>63000</v>
      </c>
    </row>
    <row r="63" spans="2:12" x14ac:dyDescent="0.25">
      <c r="B63" s="54" t="s">
        <v>34</v>
      </c>
      <c r="C63">
        <f>E14+H14+E15+H15</f>
        <v>63</v>
      </c>
      <c r="D63" s="5">
        <f>F14+I14+F15+I15</f>
        <v>126000</v>
      </c>
    </row>
    <row r="64" spans="2:12" x14ac:dyDescent="0.25">
      <c r="B64" s="54" t="s">
        <v>35</v>
      </c>
      <c r="C64">
        <f>E16+H16+H17+E17</f>
        <v>71</v>
      </c>
      <c r="D64" s="5">
        <f>F16+I16+I17+F17</f>
        <v>126000</v>
      </c>
    </row>
    <row r="65" spans="2:4" x14ac:dyDescent="0.25">
      <c r="B65" s="54" t="s">
        <v>36</v>
      </c>
      <c r="C65">
        <f>E18+H18+H19+E19+E20+H20+H21+E21</f>
        <v>90</v>
      </c>
      <c r="D65" s="5">
        <f>F18+I18+I19+F19+F20+I20+I21+F21</f>
        <v>252000</v>
      </c>
    </row>
    <row r="66" spans="2:4" x14ac:dyDescent="0.25">
      <c r="B66" s="54" t="s">
        <v>37</v>
      </c>
      <c r="C66">
        <f>E23+H23+H24+E24</f>
        <v>57</v>
      </c>
      <c r="D66" s="5">
        <f>F23+I23+I24+F24</f>
        <v>126000</v>
      </c>
    </row>
    <row r="67" spans="2:4" x14ac:dyDescent="0.25">
      <c r="B67" s="54" t="s">
        <v>38</v>
      </c>
      <c r="C67">
        <f>E25+H25+H26+E26</f>
        <v>77</v>
      </c>
      <c r="D67" s="5">
        <f>F25+I25+I26+F26</f>
        <v>126000</v>
      </c>
    </row>
    <row r="68" spans="2:4" x14ac:dyDescent="0.25">
      <c r="B68" s="54" t="s">
        <v>39</v>
      </c>
      <c r="C68">
        <f>E27+H27+H28+E28</f>
        <v>78</v>
      </c>
      <c r="D68" s="5">
        <f>F27+I27+I28+F28</f>
        <v>126000</v>
      </c>
    </row>
    <row r="69" spans="2:4" x14ac:dyDescent="0.25">
      <c r="B69" s="54" t="s">
        <v>40</v>
      </c>
      <c r="C69">
        <f t="shared" ref="C69:D71" si="12">E29+H29</f>
        <v>28</v>
      </c>
      <c r="D69" s="5">
        <f t="shared" si="12"/>
        <v>63000</v>
      </c>
    </row>
    <row r="70" spans="2:4" x14ac:dyDescent="0.25">
      <c r="B70" s="54" t="s">
        <v>41</v>
      </c>
      <c r="C70">
        <f t="shared" si="12"/>
        <v>30</v>
      </c>
      <c r="D70" s="5">
        <f t="shared" si="12"/>
        <v>63000</v>
      </c>
    </row>
    <row r="71" spans="2:4" x14ac:dyDescent="0.25">
      <c r="B71" s="54" t="s">
        <v>42</v>
      </c>
      <c r="C71">
        <f t="shared" si="12"/>
        <v>30</v>
      </c>
      <c r="D71" s="5">
        <f t="shared" si="12"/>
        <v>63000</v>
      </c>
    </row>
    <row r="72" spans="2:4" x14ac:dyDescent="0.25">
      <c r="C72">
        <f>SUM(C56:C71)</f>
        <v>834</v>
      </c>
      <c r="D72" s="5">
        <f>SUM(D56:D71)</f>
        <v>6049000</v>
      </c>
    </row>
  </sheetData>
  <sortState ref="B5:AB31">
    <sortCondition ref="C5:C31"/>
  </sortState>
  <mergeCells count="1">
    <mergeCell ref="D41:E41"/>
  </mergeCells>
  <pageMargins left="0.31496062992125984" right="0.31496062992125984" top="0.35433070866141736" bottom="0.35433070866141736" header="0.31496062992125984" footer="0.31496062992125984"/>
  <pageSetup paperSize="50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7" sqref="I27:I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by Band-Post code !!!</vt:lpstr>
      <vt:lpstr>Summary by Post code</vt:lpstr>
      <vt:lpstr>Sheltered</vt:lpstr>
      <vt:lpstr>Sheet1</vt:lpstr>
    </vt:vector>
  </TitlesOfParts>
  <Company>NTC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grus0406</dc:creator>
  <cp:lastModifiedBy>Mark Stephens</cp:lastModifiedBy>
  <cp:lastPrinted>2018-04-16T09:48:49Z</cp:lastPrinted>
  <dcterms:created xsi:type="dcterms:W3CDTF">2015-03-18T10:44:35Z</dcterms:created>
  <dcterms:modified xsi:type="dcterms:W3CDTF">2018-05-03T08:23:00Z</dcterms:modified>
</cp:coreProperties>
</file>