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240" yWindow="120" windowWidth="14232" windowHeight="8136"/>
  </bookViews>
  <sheets>
    <sheet name="Summary by Band-Post code !!!" sheetId="4" r:id="rId1"/>
    <sheet name="Summary by Post code" sheetId="5" state="hidden" r:id="rId2"/>
    <sheet name="Sheet1" sheetId="6" state="hidden" r:id="rId3"/>
    <sheet name="Sheet2" sheetId="7" r:id="rId4"/>
  </sheets>
  <calcPr calcId="144525" iterateDelta="252"/>
</workbook>
</file>

<file path=xl/calcChain.xml><?xml version="1.0" encoding="utf-8"?>
<calcChain xmlns="http://schemas.openxmlformats.org/spreadsheetml/2006/main">
  <c r="H12" i="4" l="1"/>
  <c r="H11" i="4"/>
  <c r="E11" i="4"/>
  <c r="E24" i="4"/>
  <c r="H24" i="4"/>
  <c r="K15" i="4" l="1"/>
  <c r="J15" i="4" s="1"/>
  <c r="I15" i="4"/>
  <c r="F15" i="4"/>
  <c r="G15" i="4" s="1"/>
  <c r="H14" i="4"/>
  <c r="F24" i="4"/>
  <c r="H36" i="4"/>
  <c r="E36" i="4"/>
  <c r="H42" i="4"/>
  <c r="E42" i="4"/>
  <c r="H6" i="4"/>
  <c r="H13" i="4" s="1"/>
  <c r="E6" i="4"/>
  <c r="E12" i="4"/>
  <c r="K12" i="4" s="1"/>
  <c r="J12" i="4" s="1"/>
  <c r="F19" i="4"/>
  <c r="F20" i="4"/>
  <c r="F21" i="4"/>
  <c r="F22" i="4"/>
  <c r="F23" i="4"/>
  <c r="K7" i="4"/>
  <c r="J7" i="4" s="1"/>
  <c r="K8" i="4"/>
  <c r="J8" i="4" s="1"/>
  <c r="K9" i="4"/>
  <c r="J9" i="4" s="1"/>
  <c r="K10" i="4"/>
  <c r="J10" i="4" s="1"/>
  <c r="K11" i="4"/>
  <c r="J11" i="4" s="1"/>
  <c r="E13" i="4" l="1"/>
  <c r="K42" i="4"/>
  <c r="K41" i="4"/>
  <c r="K40" i="4"/>
  <c r="K39" i="4"/>
  <c r="K38" i="4"/>
  <c r="K37" i="4"/>
  <c r="K36" i="4"/>
  <c r="K34" i="4"/>
  <c r="K33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4" i="4"/>
  <c r="L35" i="4"/>
  <c r="L43" i="4"/>
  <c r="L25" i="4"/>
  <c r="H25" i="4" l="1"/>
  <c r="E25" i="4"/>
  <c r="E43" i="4"/>
  <c r="F11" i="4"/>
  <c r="H43" i="4"/>
  <c r="H35" i="4"/>
  <c r="E35" i="4"/>
  <c r="J34" i="4"/>
  <c r="I34" i="4"/>
  <c r="F34" i="4"/>
  <c r="G34" i="4" s="1"/>
  <c r="C23" i="5"/>
  <c r="C25" i="5" s="1"/>
  <c r="F42" i="4"/>
  <c r="J42" i="4"/>
  <c r="J33" i="4"/>
  <c r="F33" i="4"/>
  <c r="G33" i="4" s="1"/>
  <c r="I33" i="4"/>
  <c r="L13" i="4"/>
  <c r="L44" i="4" s="1"/>
  <c r="I12" i="4"/>
  <c r="F12" i="4"/>
  <c r="F40" i="4"/>
  <c r="F39" i="4"/>
  <c r="F38" i="4"/>
  <c r="F37" i="4"/>
  <c r="F36" i="4"/>
  <c r="F32" i="4"/>
  <c r="F31" i="4"/>
  <c r="F30" i="4"/>
  <c r="F29" i="4"/>
  <c r="F28" i="4"/>
  <c r="F27" i="4"/>
  <c r="F26" i="4"/>
  <c r="F18" i="4"/>
  <c r="F17" i="4"/>
  <c r="F16" i="4"/>
  <c r="F7" i="4"/>
  <c r="F8" i="4"/>
  <c r="F9" i="4"/>
  <c r="F10" i="4"/>
  <c r="I35" i="4" l="1"/>
  <c r="C8" i="5"/>
  <c r="F35" i="4"/>
  <c r="G35" i="4" s="1"/>
  <c r="F41" i="4"/>
  <c r="F43" i="4" s="1"/>
  <c r="F14" i="4"/>
  <c r="G12" i="4"/>
  <c r="F6" i="4"/>
  <c r="F13" i="4" s="1"/>
  <c r="I24" i="4"/>
  <c r="G24" i="4"/>
  <c r="J24" i="4"/>
  <c r="I42" i="4"/>
  <c r="G42" i="4"/>
  <c r="J14" i="4"/>
  <c r="C10" i="5"/>
  <c r="G40" i="4"/>
  <c r="G39" i="4"/>
  <c r="G38" i="4"/>
  <c r="G37" i="4"/>
  <c r="J32" i="4"/>
  <c r="G32" i="4"/>
  <c r="J31" i="4"/>
  <c r="G31" i="4"/>
  <c r="I31" i="4"/>
  <c r="G30" i="4"/>
  <c r="J22" i="4"/>
  <c r="J23" i="4"/>
  <c r="G22" i="4"/>
  <c r="I22" i="4"/>
  <c r="G11" i="4"/>
  <c r="J41" i="4"/>
  <c r="C11" i="5"/>
  <c r="J21" i="4"/>
  <c r="I8" i="4"/>
  <c r="I7" i="4"/>
  <c r="I6" i="4"/>
  <c r="J40" i="4"/>
  <c r="I40" i="4"/>
  <c r="J39" i="4"/>
  <c r="I39" i="4"/>
  <c r="J38" i="4"/>
  <c r="I38" i="4"/>
  <c r="J37" i="4"/>
  <c r="I37" i="4"/>
  <c r="J36" i="4"/>
  <c r="I36" i="4"/>
  <c r="I30" i="4"/>
  <c r="J29" i="4"/>
  <c r="I29" i="4"/>
  <c r="G29" i="4"/>
  <c r="J28" i="4"/>
  <c r="I28" i="4"/>
  <c r="G28" i="4"/>
  <c r="J27" i="4"/>
  <c r="I27" i="4"/>
  <c r="G27" i="4"/>
  <c r="J19" i="4"/>
  <c r="I19" i="4"/>
  <c r="G19" i="4"/>
  <c r="J18" i="4"/>
  <c r="I18" i="4"/>
  <c r="G18" i="4"/>
  <c r="G17" i="4"/>
  <c r="J16" i="4"/>
  <c r="I16" i="4"/>
  <c r="G16" i="4"/>
  <c r="I10" i="4"/>
  <c r="G10" i="4"/>
  <c r="I9" i="4"/>
  <c r="G9" i="4"/>
  <c r="G8" i="4"/>
  <c r="G7" i="4"/>
  <c r="K6" i="4"/>
  <c r="J6" i="4" s="1"/>
  <c r="G6" i="4" l="1"/>
  <c r="F25" i="4"/>
  <c r="G14" i="4"/>
  <c r="J17" i="4"/>
  <c r="I17" i="4"/>
  <c r="I20" i="4"/>
  <c r="G20" i="4"/>
  <c r="J20" i="4"/>
  <c r="I14" i="4"/>
  <c r="D11" i="5"/>
  <c r="D8" i="5"/>
  <c r="G26" i="4"/>
  <c r="J26" i="4"/>
  <c r="I26" i="4"/>
  <c r="I32" i="4"/>
  <c r="G43" i="4"/>
  <c r="I11" i="4"/>
  <c r="J30" i="4"/>
  <c r="I41" i="4"/>
  <c r="G41" i="4"/>
  <c r="D9" i="5"/>
  <c r="C9" i="5"/>
  <c r="C12" i="5" s="1"/>
  <c r="I23" i="4"/>
  <c r="G23" i="4"/>
  <c r="I21" i="4"/>
  <c r="G21" i="4"/>
  <c r="G13" i="4"/>
  <c r="G36" i="4"/>
  <c r="C16" i="5" l="1"/>
  <c r="C27" i="5" s="1"/>
  <c r="I43" i="4"/>
  <c r="I13" i="4"/>
  <c r="D10" i="5"/>
  <c r="D12" i="5" s="1"/>
  <c r="G25" i="4"/>
  <c r="I25" i="4"/>
</calcChain>
</file>

<file path=xl/sharedStrings.xml><?xml version="1.0" encoding="utf-8"?>
<sst xmlns="http://schemas.openxmlformats.org/spreadsheetml/2006/main" count="95" uniqueCount="58">
  <si>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</si>
  <si>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</si>
  <si>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</si>
  <si>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</si>
  <si>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</si>
  <si>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</si>
  <si>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</si>
  <si>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</si>
  <si>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</si>
  <si>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</si>
  <si>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&lt;£50,000 - £99,000</t>
  </si>
  <si>
    <t>£60,000 - £69,999</t>
  </si>
  <si>
    <t>£100,000 - £299,999</t>
  </si>
  <si>
    <t>Total</t>
  </si>
  <si>
    <t>Average</t>
  </si>
  <si>
    <t>£100,000 - £119,999</t>
  </si>
  <si>
    <t>No Void</t>
  </si>
  <si>
    <t>£120,000 - £139,999</t>
  </si>
  <si>
    <t>£140,000 - £159,999</t>
  </si>
  <si>
    <t>£160,000 - £179,999</t>
  </si>
  <si>
    <t>£180,000 - £199,999</t>
  </si>
  <si>
    <t>£90,000 - £99,999</t>
  </si>
  <si>
    <t>£80,000 - £89,999</t>
  </si>
  <si>
    <t>£70,000 - £79,999</t>
  </si>
  <si>
    <t>Totals</t>
  </si>
  <si>
    <t>Summary Sheet</t>
  </si>
  <si>
    <t>Post Code</t>
  </si>
  <si>
    <t>No`s</t>
  </si>
  <si>
    <t>Sheltered</t>
  </si>
  <si>
    <t>Dispersed</t>
  </si>
  <si>
    <t>YPS</t>
  </si>
  <si>
    <t>Values</t>
  </si>
  <si>
    <t>NE12 ***</t>
  </si>
  <si>
    <t>NE28 ***</t>
  </si>
  <si>
    <t>NE29 ***</t>
  </si>
  <si>
    <t xml:space="preserve">NE07 *** NE13 *** NE23 *** NE25 *** NE26 *** NE27 ***  NE30 ***  </t>
  </si>
  <si>
    <t>Various</t>
  </si>
  <si>
    <t>&lt;£50,000 - £159,999</t>
  </si>
  <si>
    <t>NE13,NE23,NE25,NE26,NE27 ***,</t>
  </si>
  <si>
    <t>General Stock Totals</t>
  </si>
  <si>
    <t>£100,000 - £999,999</t>
  </si>
  <si>
    <t>&lt; £69,999</t>
  </si>
  <si>
    <t>&lt; £59,999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</si>
  <si>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</si>
  <si>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</si>
  <si>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</si>
  <si>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Difference</t>
  </si>
  <si>
    <t>Less awaiting disposal</t>
  </si>
  <si>
    <t>General Stock</t>
  </si>
  <si>
    <t>Affordable</t>
  </si>
  <si>
    <t>Capital asset Totals</t>
  </si>
  <si>
    <t>£200,000 - £999,999</t>
  </si>
  <si>
    <t>Existing User value for social Housing (EUV-SH) - Market Valuation discounted to account for the dwellling would remain at existing use. Eg tenanted social rented accommodation</t>
  </si>
  <si>
    <t>HMO</t>
  </si>
  <si>
    <t>£140,000 - £219,999</t>
  </si>
  <si>
    <t>Social Housing Asset data 2019 (Excludes Sheltered PFI schemes and dwellings awaiting disposal)</t>
  </si>
  <si>
    <t>£140,000 - £199,999</t>
  </si>
  <si>
    <t>&lt;£69,999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</si>
</sst>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Font="1" applyBorder="1" applyAlignment="1">
      <alignment horizontal="center" wrapText="1"/>
    </xf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0" fontId="2" fillId="0" borderId="0" xfId="0" applyFo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3" fontId="1" fillId="0" borderId="0" xfId="0" applyNumberFormat="1" applyFont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0" fontId="0" fillId="0" borderId="5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workbookViewId="0">
      <selection activeCell="N30" sqref="N30"/>
    </sheetView>
  </sheetViews>
  <sheetFormatPr defaultRowHeight="14.4" x14ac:dyDescent="0.3"/>
  <cols>
    <col min="1" max="1" width="2.44140625" customWidth="1"/>
    <col min="2" max="2" width="12.44140625" customWidth="1"/>
    <col min="3" max="3" width="17.44140625" customWidth="1"/>
    <col min="4" max="4" width="18.44140625" customWidth="1"/>
    <col min="5" max="5" width="13.21875" bestFit="1" customWidth="1"/>
    <col min="6" max="6" width="14" style="5" customWidth="1"/>
    <col min="7" max="7" width="9.77734375" style="5" customWidth="1"/>
    <col min="8" max="8" width="12.109375" style="5" bestFit="1" customWidth="1"/>
    <col min="9" max="9" width="8.44140625" style="5" bestFit="1" customWidth="1"/>
    <col min="10" max="10" width="10.5546875" bestFit="1" customWidth="1"/>
    <col min="11" max="11" width="9.5546875" customWidth="1"/>
    <col min="12" max="12" width="9.33203125" hidden="1" customWidth="1"/>
    <col min="13" max="13" width="9.109375" customWidth="1"/>
  </cols>
  <sheetData>
    <row r="1" spans="2:12" x14ac:dyDescent="0.3">
      <c r="B1" s="16" t="s">
        <v>55</v>
      </c>
    </row>
    <row r="3" spans="2:12" s="3" customFormat="1" ht="28.8" x14ac:dyDescent="0.3">
      <c r="B3" s="30" t="s">
        <v>0</v>
      </c>
      <c r="C3" s="30" t="s">
        <v>1</v>
      </c>
      <c r="D3" s="4" t="s">
        <v>2</v>
      </c>
      <c r="E3" s="35" t="s">
        <v>3</v>
      </c>
      <c r="F3" s="36"/>
      <c r="G3" s="36"/>
      <c r="H3" s="36"/>
      <c r="I3" s="37"/>
      <c r="J3" s="35" t="s">
        <v>9</v>
      </c>
      <c r="K3" s="37"/>
    </row>
    <row r="4" spans="2:12" s="1" customFormat="1" ht="50.25" customHeight="1" x14ac:dyDescent="0.3">
      <c r="B4" s="19"/>
      <c r="C4" s="20"/>
      <c r="D4" s="21"/>
      <c r="E4" s="27" t="s">
        <v>4</v>
      </c>
      <c r="F4" s="38" t="s">
        <v>5</v>
      </c>
      <c r="G4" s="38"/>
      <c r="H4" s="38" t="s">
        <v>6</v>
      </c>
      <c r="I4" s="38"/>
      <c r="J4" s="27" t="s">
        <v>8</v>
      </c>
      <c r="K4" s="27" t="s">
        <v>7</v>
      </c>
      <c r="L4" s="6" t="s">
        <v>16</v>
      </c>
    </row>
    <row r="5" spans="2:12" s="1" customFormat="1" ht="16.5" customHeight="1" x14ac:dyDescent="0.3">
      <c r="B5" s="2"/>
      <c r="C5" s="2"/>
      <c r="D5" s="2"/>
      <c r="E5" s="2"/>
      <c r="F5" s="28" t="s">
        <v>13</v>
      </c>
      <c r="G5" s="28" t="s">
        <v>14</v>
      </c>
      <c r="H5" s="28" t="s">
        <v>13</v>
      </c>
      <c r="I5" s="29" t="s">
        <v>14</v>
      </c>
      <c r="J5" s="8"/>
      <c r="K5" s="2"/>
    </row>
    <row r="6" spans="2:12" x14ac:dyDescent="0.3">
      <c r="B6" s="9" t="s">
        <v>32</v>
      </c>
      <c r="C6" s="9" t="s">
        <v>10</v>
      </c>
      <c r="D6" s="9" t="s">
        <v>41</v>
      </c>
      <c r="E6" s="9">
        <f>8+14</f>
        <v>22</v>
      </c>
      <c r="F6" s="10">
        <f>H6*44%</f>
        <v>528704</v>
      </c>
      <c r="G6" s="10">
        <f t="shared" ref="G6:G8" si="0">IFERROR(F6/E6,0)</f>
        <v>24032</v>
      </c>
      <c r="H6" s="10">
        <f>256000+945600</f>
        <v>1201600</v>
      </c>
      <c r="I6" s="10">
        <f t="shared" ref="I6:I8" si="1">IFERROR(H6/E6,0)</f>
        <v>54618.181818181816</v>
      </c>
      <c r="J6" s="8">
        <f t="shared" ref="J6:J42" si="2">IFERROR(100-K6,0)</f>
        <v>100</v>
      </c>
      <c r="K6" s="8">
        <f>IFERROR(L6/E6%,0)</f>
        <v>0</v>
      </c>
      <c r="L6">
        <v>0</v>
      </c>
    </row>
    <row r="7" spans="2:12" x14ac:dyDescent="0.3">
      <c r="B7" s="9"/>
      <c r="C7" s="9"/>
      <c r="D7" s="9" t="s">
        <v>23</v>
      </c>
      <c r="E7" s="9">
        <v>179</v>
      </c>
      <c r="F7" s="10">
        <f t="shared" ref="F7:F41" si="3">H7*44%</f>
        <v>5954331.6799999997</v>
      </c>
      <c r="G7" s="10">
        <f t="shared" si="0"/>
        <v>33264.422793296086</v>
      </c>
      <c r="H7" s="10">
        <v>13532572</v>
      </c>
      <c r="I7" s="10">
        <f t="shared" si="1"/>
        <v>75600.960893854746</v>
      </c>
      <c r="J7" s="8">
        <f t="shared" ref="J7:J12" si="4">IFERROR(100-K7,0)</f>
        <v>99.441340782122907</v>
      </c>
      <c r="K7" s="8">
        <f t="shared" ref="K7:K12" si="5">IFERROR(L7/E7%,0)</f>
        <v>0.55865921787709494</v>
      </c>
      <c r="L7">
        <v>1</v>
      </c>
    </row>
    <row r="8" spans="2:12" x14ac:dyDescent="0.3">
      <c r="B8" s="9"/>
      <c r="C8" s="9"/>
      <c r="D8" s="9" t="s">
        <v>22</v>
      </c>
      <c r="E8" s="9">
        <v>960</v>
      </c>
      <c r="F8" s="10">
        <f t="shared" si="3"/>
        <v>36364460</v>
      </c>
      <c r="G8" s="10">
        <f t="shared" si="0"/>
        <v>37879.645833333336</v>
      </c>
      <c r="H8" s="10">
        <v>82646500</v>
      </c>
      <c r="I8" s="10">
        <f t="shared" si="1"/>
        <v>86090.104166666672</v>
      </c>
      <c r="J8" s="8">
        <f t="shared" si="4"/>
        <v>98.854166666666671</v>
      </c>
      <c r="K8" s="8">
        <f t="shared" si="5"/>
        <v>1.1458333333333335</v>
      </c>
      <c r="L8">
        <v>11</v>
      </c>
    </row>
    <row r="9" spans="2:12" x14ac:dyDescent="0.3">
      <c r="B9" s="9"/>
      <c r="C9" s="9"/>
      <c r="D9" s="9" t="s">
        <v>21</v>
      </c>
      <c r="E9" s="9">
        <v>496</v>
      </c>
      <c r="F9" s="10">
        <f t="shared" si="3"/>
        <v>21105365.16</v>
      </c>
      <c r="G9" s="10">
        <f t="shared" ref="G9:G18" si="6">IFERROR(F9/E9,0)</f>
        <v>42551.13943548387</v>
      </c>
      <c r="H9" s="10">
        <v>47966739</v>
      </c>
      <c r="I9" s="10">
        <f t="shared" ref="I9:I18" si="7">IFERROR(H9/E9,0)</f>
        <v>96707.135080645166</v>
      </c>
      <c r="J9" s="8">
        <f t="shared" si="4"/>
        <v>99.798387096774192</v>
      </c>
      <c r="K9" s="8">
        <f t="shared" si="5"/>
        <v>0.20161290322580647</v>
      </c>
      <c r="L9">
        <v>1</v>
      </c>
    </row>
    <row r="10" spans="2:12" x14ac:dyDescent="0.3">
      <c r="B10" s="9"/>
      <c r="C10" s="9" t="s">
        <v>12</v>
      </c>
      <c r="D10" s="9" t="s">
        <v>15</v>
      </c>
      <c r="E10" s="9">
        <v>1053</v>
      </c>
      <c r="F10" s="10">
        <f t="shared" si="3"/>
        <v>49470291.200000003</v>
      </c>
      <c r="G10" s="10">
        <f t="shared" si="6"/>
        <v>46980.333523266861</v>
      </c>
      <c r="H10" s="10">
        <v>112432480</v>
      </c>
      <c r="I10" s="10">
        <f t="shared" si="7"/>
        <v>106773.48528015194</v>
      </c>
      <c r="J10" s="8">
        <f t="shared" si="4"/>
        <v>99.715099715099711</v>
      </c>
      <c r="K10" s="8">
        <f t="shared" si="5"/>
        <v>0.28490028490028491</v>
      </c>
      <c r="L10">
        <v>3</v>
      </c>
    </row>
    <row r="11" spans="2:12" x14ac:dyDescent="0.3">
      <c r="B11" s="9"/>
      <c r="C11" s="9"/>
      <c r="D11" s="9" t="s">
        <v>17</v>
      </c>
      <c r="E11" s="9">
        <f>114-1</f>
        <v>113</v>
      </c>
      <c r="F11" s="10">
        <f t="shared" si="3"/>
        <v>6586374.0800000001</v>
      </c>
      <c r="G11" s="10">
        <f t="shared" si="6"/>
        <v>58286.496283185843</v>
      </c>
      <c r="H11" s="10">
        <f>15099032-130000</f>
        <v>14969032</v>
      </c>
      <c r="I11" s="10">
        <f t="shared" si="7"/>
        <v>132469.30973451328</v>
      </c>
      <c r="J11" s="8">
        <f t="shared" si="4"/>
        <v>96.460176991150448</v>
      </c>
      <c r="K11" s="8">
        <f t="shared" si="5"/>
        <v>3.5398230088495577</v>
      </c>
      <c r="L11">
        <v>4</v>
      </c>
    </row>
    <row r="12" spans="2:12" x14ac:dyDescent="0.3">
      <c r="B12" s="9"/>
      <c r="C12" s="9"/>
      <c r="D12" s="9" t="s">
        <v>56</v>
      </c>
      <c r="E12" s="9">
        <f>35+3+1</f>
        <v>39</v>
      </c>
      <c r="F12" s="10">
        <f t="shared" si="3"/>
        <v>2537106</v>
      </c>
      <c r="G12" s="10">
        <f t="shared" si="6"/>
        <v>65054</v>
      </c>
      <c r="H12" s="10">
        <f>5008150+540000+218000</f>
        <v>5766150</v>
      </c>
      <c r="I12" s="10">
        <f t="shared" si="7"/>
        <v>147850</v>
      </c>
      <c r="J12" s="8">
        <f t="shared" si="4"/>
        <v>100</v>
      </c>
      <c r="K12" s="8">
        <f t="shared" si="5"/>
        <v>0</v>
      </c>
      <c r="L12">
        <v>0</v>
      </c>
    </row>
    <row r="13" spans="2:12" s="16" customFormat="1" x14ac:dyDescent="0.3">
      <c r="B13" s="13"/>
      <c r="C13" s="12" t="s">
        <v>32</v>
      </c>
      <c r="D13" s="12" t="s">
        <v>24</v>
      </c>
      <c r="E13" s="13">
        <f>SUM(E6:E12)</f>
        <v>2862</v>
      </c>
      <c r="F13" s="14">
        <f>SUM(F6:F12)</f>
        <v>122546632.12</v>
      </c>
      <c r="G13" s="10">
        <f t="shared" si="6"/>
        <v>42818.529741439554</v>
      </c>
      <c r="H13" s="14">
        <f>SUM(H6:H12)</f>
        <v>278515073</v>
      </c>
      <c r="I13" s="10">
        <f t="shared" si="7"/>
        <v>97314.840321453536</v>
      </c>
      <c r="J13" s="15"/>
      <c r="K13" s="15"/>
      <c r="L13" s="16">
        <f>SUM(L6:L12)</f>
        <v>20</v>
      </c>
    </row>
    <row r="14" spans="2:12" x14ac:dyDescent="0.3">
      <c r="B14" s="32" t="s">
        <v>35</v>
      </c>
      <c r="C14" s="9" t="s">
        <v>10</v>
      </c>
      <c r="D14" s="9" t="s">
        <v>42</v>
      </c>
      <c r="E14" s="9">
        <v>54</v>
      </c>
      <c r="F14" s="10">
        <f t="shared" si="3"/>
        <v>1338434.68</v>
      </c>
      <c r="G14" s="10">
        <f t="shared" si="6"/>
        <v>24785.827407407407</v>
      </c>
      <c r="H14" s="10">
        <f>35631+3006266</f>
        <v>3041897</v>
      </c>
      <c r="I14" s="10">
        <f t="shared" si="7"/>
        <v>56331.425925925927</v>
      </c>
      <c r="J14" s="8">
        <f>IFERROR(100-K14,0)</f>
        <v>98.148148148148152</v>
      </c>
      <c r="K14" s="8">
        <f t="shared" ref="K14:K42" si="8">IFERROR(L14/E14%,0)</f>
        <v>1.8518518518518516</v>
      </c>
      <c r="L14">
        <v>1</v>
      </c>
    </row>
    <row r="15" spans="2:12" x14ac:dyDescent="0.3">
      <c r="B15" s="33"/>
      <c r="C15" s="9"/>
      <c r="D15" s="9" t="s">
        <v>11</v>
      </c>
      <c r="E15" s="9">
        <v>87</v>
      </c>
      <c r="F15" s="10">
        <f t="shared" ref="F15" si="9">H15*44%</f>
        <v>2571649.08</v>
      </c>
      <c r="G15" s="10">
        <f t="shared" ref="G15" si="10">IFERROR(F15/E15,0)</f>
        <v>29559.184827586207</v>
      </c>
      <c r="H15" s="10">
        <v>5844657</v>
      </c>
      <c r="I15" s="10">
        <f t="shared" ref="I15" si="11">IFERROR(H15/E15,0)</f>
        <v>67179.965517241377</v>
      </c>
      <c r="J15" s="8">
        <f>IFERROR(100-K15,0)</f>
        <v>100</v>
      </c>
      <c r="K15" s="8">
        <f t="shared" ref="K15" si="12">IFERROR(L15/E15%,0)</f>
        <v>0</v>
      </c>
      <c r="L15">
        <v>0</v>
      </c>
    </row>
    <row r="16" spans="2:12" x14ac:dyDescent="0.3">
      <c r="B16" s="33"/>
      <c r="C16" s="9"/>
      <c r="D16" s="9" t="s">
        <v>23</v>
      </c>
      <c r="E16" s="9">
        <v>439</v>
      </c>
      <c r="F16" s="10">
        <f t="shared" si="3"/>
        <v>14590653</v>
      </c>
      <c r="G16" s="10">
        <f t="shared" si="6"/>
        <v>33236.111617312075</v>
      </c>
      <c r="H16" s="10">
        <v>33160575</v>
      </c>
      <c r="I16" s="10">
        <f t="shared" si="7"/>
        <v>75536.617312072893</v>
      </c>
      <c r="J16" s="8">
        <f>IFERROR(100-K16,0)</f>
        <v>97.949886104783602</v>
      </c>
      <c r="K16" s="8">
        <f t="shared" si="8"/>
        <v>2.0501138952164011</v>
      </c>
      <c r="L16">
        <v>9</v>
      </c>
    </row>
    <row r="17" spans="2:12" ht="15" customHeight="1" x14ac:dyDescent="0.3">
      <c r="B17" s="33"/>
      <c r="C17" s="9"/>
      <c r="D17" s="9" t="s">
        <v>22</v>
      </c>
      <c r="E17" s="9">
        <v>659</v>
      </c>
      <c r="F17" s="10">
        <f t="shared" si="3"/>
        <v>25054226.559999999</v>
      </c>
      <c r="G17" s="10">
        <f t="shared" si="6"/>
        <v>38018.553201820941</v>
      </c>
      <c r="H17" s="10">
        <v>56941424</v>
      </c>
      <c r="I17" s="10">
        <f t="shared" si="7"/>
        <v>86405.802731411226</v>
      </c>
      <c r="J17" s="8">
        <f>IFERROR(100-K17,0)</f>
        <v>99.544764795144161</v>
      </c>
      <c r="K17" s="8">
        <f t="shared" si="8"/>
        <v>0.45523520485584218</v>
      </c>
      <c r="L17">
        <v>3</v>
      </c>
    </row>
    <row r="18" spans="2:12" x14ac:dyDescent="0.3">
      <c r="B18" s="33"/>
      <c r="C18" s="9"/>
      <c r="D18" s="9" t="s">
        <v>21</v>
      </c>
      <c r="E18" s="9">
        <v>846</v>
      </c>
      <c r="F18" s="10">
        <f t="shared" si="3"/>
        <v>35409408.32</v>
      </c>
      <c r="G18" s="10">
        <f t="shared" si="6"/>
        <v>41855.092576832154</v>
      </c>
      <c r="H18" s="10">
        <v>80475928</v>
      </c>
      <c r="I18" s="10">
        <f t="shared" si="7"/>
        <v>95125.210401891251</v>
      </c>
      <c r="J18" s="8">
        <f>IFERROR(100-K18,0)</f>
        <v>98.817966903073284</v>
      </c>
      <c r="K18" s="8">
        <f t="shared" si="8"/>
        <v>1.1820330969267139</v>
      </c>
      <c r="L18">
        <v>10</v>
      </c>
    </row>
    <row r="19" spans="2:12" x14ac:dyDescent="0.3">
      <c r="B19" s="33"/>
      <c r="C19" s="9" t="s">
        <v>40</v>
      </c>
      <c r="D19" s="9" t="s">
        <v>15</v>
      </c>
      <c r="E19" s="9">
        <v>614</v>
      </c>
      <c r="F19" s="10">
        <f t="shared" si="3"/>
        <v>29157859.719999999</v>
      </c>
      <c r="G19" s="10">
        <f t="shared" ref="G19:G43" si="13">IFERROR(F19/E19,0)</f>
        <v>47488.370879478825</v>
      </c>
      <c r="H19" s="10">
        <v>66267863</v>
      </c>
      <c r="I19" s="10">
        <f t="shared" ref="I19:I25" si="14">IFERROR(H19/E19,0)</f>
        <v>107928.11563517916</v>
      </c>
      <c r="J19" s="8">
        <f t="shared" si="2"/>
        <v>99.185667752442995</v>
      </c>
      <c r="K19" s="8">
        <f t="shared" si="8"/>
        <v>0.81433224755700329</v>
      </c>
      <c r="L19">
        <v>5</v>
      </c>
    </row>
    <row r="20" spans="2:12" ht="15" customHeight="1" x14ac:dyDescent="0.3">
      <c r="B20" s="34"/>
      <c r="C20" s="9"/>
      <c r="D20" s="9" t="s">
        <v>17</v>
      </c>
      <c r="E20" s="9">
        <v>292</v>
      </c>
      <c r="F20" s="10">
        <f t="shared" si="3"/>
        <v>16788809.399999999</v>
      </c>
      <c r="G20" s="10">
        <f t="shared" si="13"/>
        <v>57495.922602739724</v>
      </c>
      <c r="H20" s="10">
        <v>38156385</v>
      </c>
      <c r="I20" s="10">
        <f t="shared" si="14"/>
        <v>130672.55136986301</v>
      </c>
      <c r="J20" s="8">
        <f t="shared" si="2"/>
        <v>99.31506849315069</v>
      </c>
      <c r="K20" s="8">
        <f t="shared" si="8"/>
        <v>0.68493150684931503</v>
      </c>
      <c r="L20">
        <v>2</v>
      </c>
    </row>
    <row r="21" spans="2:12" x14ac:dyDescent="0.3">
      <c r="B21" s="9"/>
      <c r="C21" s="9"/>
      <c r="D21" s="9" t="s">
        <v>18</v>
      </c>
      <c r="E21" s="9">
        <v>268</v>
      </c>
      <c r="F21" s="10">
        <f t="shared" si="3"/>
        <v>17455925.080000002</v>
      </c>
      <c r="G21" s="10">
        <f t="shared" si="13"/>
        <v>65134.048805970153</v>
      </c>
      <c r="H21" s="10">
        <v>39672557</v>
      </c>
      <c r="I21" s="10">
        <f t="shared" si="14"/>
        <v>148031.9291044776</v>
      </c>
      <c r="J21" s="8">
        <f t="shared" si="2"/>
        <v>99.626865671641795</v>
      </c>
      <c r="K21" s="8">
        <f t="shared" si="8"/>
        <v>0.37313432835820892</v>
      </c>
      <c r="L21">
        <v>1</v>
      </c>
    </row>
    <row r="22" spans="2:12" x14ac:dyDescent="0.3">
      <c r="B22" s="9"/>
      <c r="C22" s="9"/>
      <c r="D22" s="9" t="s">
        <v>19</v>
      </c>
      <c r="E22" s="9">
        <v>160</v>
      </c>
      <c r="F22" s="10">
        <f t="shared" si="3"/>
        <v>11713859.960000001</v>
      </c>
      <c r="G22" s="10">
        <f t="shared" si="13"/>
        <v>73211.624750000003</v>
      </c>
      <c r="H22" s="10">
        <v>26622409</v>
      </c>
      <c r="I22" s="10">
        <f t="shared" si="14"/>
        <v>166390.05624999999</v>
      </c>
      <c r="J22" s="8">
        <f t="shared" si="2"/>
        <v>99.375</v>
      </c>
      <c r="K22" s="8">
        <f t="shared" si="8"/>
        <v>0.625</v>
      </c>
      <c r="L22">
        <v>1</v>
      </c>
    </row>
    <row r="23" spans="2:12" x14ac:dyDescent="0.3">
      <c r="B23" s="9"/>
      <c r="C23" s="9"/>
      <c r="D23" s="9" t="s">
        <v>20</v>
      </c>
      <c r="E23" s="9">
        <v>28</v>
      </c>
      <c r="F23" s="10">
        <f t="shared" si="3"/>
        <v>2256907.84</v>
      </c>
      <c r="G23" s="10">
        <f t="shared" si="13"/>
        <v>80603.851428571419</v>
      </c>
      <c r="H23" s="10">
        <v>5129336</v>
      </c>
      <c r="I23" s="10">
        <f t="shared" si="14"/>
        <v>183190.57142857142</v>
      </c>
      <c r="J23" s="8">
        <f t="shared" si="2"/>
        <v>96.428571428571431</v>
      </c>
      <c r="K23" s="8">
        <f t="shared" si="8"/>
        <v>3.5714285714285712</v>
      </c>
      <c r="L23">
        <v>1</v>
      </c>
    </row>
    <row r="24" spans="2:12" x14ac:dyDescent="0.3">
      <c r="B24" s="9"/>
      <c r="C24" s="9"/>
      <c r="D24" s="9" t="s">
        <v>51</v>
      </c>
      <c r="E24" s="9">
        <f>16+3+1+1+1+1</f>
        <v>23</v>
      </c>
      <c r="F24" s="10">
        <f t="shared" si="3"/>
        <v>2296530.2799999998</v>
      </c>
      <c r="G24" s="10">
        <f t="shared" si="13"/>
        <v>99849.142608695649</v>
      </c>
      <c r="H24" s="10">
        <f>3363571+684396+280676+288603+293948+308193</f>
        <v>5219387</v>
      </c>
      <c r="I24" s="10">
        <f t="shared" si="14"/>
        <v>226929.86956521738</v>
      </c>
      <c r="J24" s="8">
        <f t="shared" ref="J24" si="15">IFERROR(100-K24,0)</f>
        <v>100</v>
      </c>
      <c r="K24" s="8">
        <f t="shared" si="8"/>
        <v>0</v>
      </c>
      <c r="L24">
        <v>0</v>
      </c>
    </row>
    <row r="25" spans="2:12" x14ac:dyDescent="0.3">
      <c r="B25" s="9"/>
      <c r="C25" s="12" t="s">
        <v>36</v>
      </c>
      <c r="D25" s="12" t="s">
        <v>24</v>
      </c>
      <c r="E25" s="13">
        <f>SUM(E14:E24)</f>
        <v>3470</v>
      </c>
      <c r="F25" s="14">
        <f>SUM(F14:F24)</f>
        <v>158634263.92000002</v>
      </c>
      <c r="G25" s="10">
        <f t="shared" si="13"/>
        <v>45715.926201729111</v>
      </c>
      <c r="H25" s="14">
        <f>SUM(H14:H24)</f>
        <v>360532418</v>
      </c>
      <c r="I25" s="10">
        <f t="shared" si="14"/>
        <v>103899.83227665706</v>
      </c>
      <c r="J25" s="8"/>
      <c r="K25" s="8"/>
      <c r="L25" s="16">
        <f>SUM(L14:L24)</f>
        <v>33</v>
      </c>
    </row>
    <row r="26" spans="2:12" x14ac:dyDescent="0.3">
      <c r="B26" s="9" t="s">
        <v>33</v>
      </c>
      <c r="C26" s="9" t="s">
        <v>37</v>
      </c>
      <c r="D26" s="9" t="s">
        <v>42</v>
      </c>
      <c r="E26" s="9">
        <v>202</v>
      </c>
      <c r="F26" s="10">
        <f t="shared" si="3"/>
        <v>5066174.96</v>
      </c>
      <c r="G26" s="10">
        <f t="shared" ref="G26:G31" si="16">IFERROR(F26/E26,0)</f>
        <v>25080.074059405939</v>
      </c>
      <c r="H26" s="10">
        <v>11514034</v>
      </c>
      <c r="I26" s="10">
        <f t="shared" ref="I26:I34" si="17">IFERROR(H26/E26,0)</f>
        <v>57000.168316831681</v>
      </c>
      <c r="J26" s="8">
        <f t="shared" ref="J26:J34" si="18">IFERROR(100-K26,0)</f>
        <v>97.524752475247524</v>
      </c>
      <c r="K26" s="8">
        <f t="shared" si="8"/>
        <v>2.4752475247524752</v>
      </c>
      <c r="L26">
        <v>5</v>
      </c>
    </row>
    <row r="27" spans="2:12" x14ac:dyDescent="0.3">
      <c r="C27" s="9"/>
      <c r="D27" s="9" t="s">
        <v>11</v>
      </c>
      <c r="E27" s="9">
        <v>683</v>
      </c>
      <c r="F27" s="10">
        <f t="shared" si="3"/>
        <v>19810296.440000001</v>
      </c>
      <c r="G27" s="10">
        <f t="shared" si="16"/>
        <v>29004.826412884337</v>
      </c>
      <c r="H27" s="10">
        <v>45023401</v>
      </c>
      <c r="I27" s="10">
        <f t="shared" si="17"/>
        <v>65920.060029282584</v>
      </c>
      <c r="J27" s="8">
        <f t="shared" si="18"/>
        <v>97.803806734992676</v>
      </c>
      <c r="K27" s="8">
        <f t="shared" si="8"/>
        <v>2.1961932650073206</v>
      </c>
      <c r="L27">
        <v>15</v>
      </c>
    </row>
    <row r="28" spans="2:12" x14ac:dyDescent="0.3">
      <c r="B28" s="9"/>
      <c r="C28" s="9"/>
      <c r="D28" s="9" t="s">
        <v>23</v>
      </c>
      <c r="E28" s="9">
        <v>557</v>
      </c>
      <c r="F28" s="10">
        <f t="shared" si="3"/>
        <v>18350861.32</v>
      </c>
      <c r="G28" s="10">
        <f t="shared" si="16"/>
        <v>32945.891059245958</v>
      </c>
      <c r="H28" s="10">
        <v>41706503</v>
      </c>
      <c r="I28" s="10">
        <f t="shared" si="17"/>
        <v>74877.025134649914</v>
      </c>
      <c r="J28" s="8">
        <f t="shared" si="18"/>
        <v>98.384201077199279</v>
      </c>
      <c r="K28" s="8">
        <f t="shared" si="8"/>
        <v>1.6157989228007181</v>
      </c>
      <c r="L28">
        <v>9</v>
      </c>
    </row>
    <row r="29" spans="2:12" x14ac:dyDescent="0.3">
      <c r="B29" s="9"/>
      <c r="C29" s="9"/>
      <c r="D29" s="9" t="s">
        <v>22</v>
      </c>
      <c r="E29" s="9">
        <v>230</v>
      </c>
      <c r="F29" s="10">
        <f t="shared" si="3"/>
        <v>8524296.4399999995</v>
      </c>
      <c r="G29" s="10">
        <f t="shared" si="16"/>
        <v>37062.158434782606</v>
      </c>
      <c r="H29" s="10">
        <v>19373401</v>
      </c>
      <c r="I29" s="10">
        <f t="shared" si="17"/>
        <v>84232.178260869565</v>
      </c>
      <c r="J29" s="8">
        <f t="shared" si="18"/>
        <v>96.521739130434781</v>
      </c>
      <c r="K29" s="8">
        <f t="shared" si="8"/>
        <v>3.4782608695652177</v>
      </c>
      <c r="L29">
        <v>8</v>
      </c>
    </row>
    <row r="30" spans="2:12" x14ac:dyDescent="0.3">
      <c r="B30" s="9"/>
      <c r="C30" s="9"/>
      <c r="D30" s="9" t="s">
        <v>21</v>
      </c>
      <c r="E30" s="9">
        <v>1038</v>
      </c>
      <c r="F30" s="10">
        <f t="shared" si="3"/>
        <v>43917286.160000004</v>
      </c>
      <c r="G30" s="10">
        <f t="shared" si="16"/>
        <v>42309.524238921003</v>
      </c>
      <c r="H30" s="10">
        <v>99812014</v>
      </c>
      <c r="I30" s="10">
        <f t="shared" si="17"/>
        <v>96158.009633911366</v>
      </c>
      <c r="J30" s="8">
        <f t="shared" si="18"/>
        <v>99.518304431599233</v>
      </c>
      <c r="K30" s="8">
        <f t="shared" si="8"/>
        <v>0.48169556840077066</v>
      </c>
      <c r="L30">
        <v>5</v>
      </c>
    </row>
    <row r="31" spans="2:12" x14ac:dyDescent="0.3">
      <c r="B31" s="9"/>
      <c r="C31" s="9"/>
      <c r="D31" s="9" t="s">
        <v>15</v>
      </c>
      <c r="E31" s="9">
        <v>942</v>
      </c>
      <c r="F31" s="10">
        <f t="shared" si="3"/>
        <v>42900213.840000004</v>
      </c>
      <c r="G31" s="10">
        <f t="shared" si="16"/>
        <v>45541.628280254779</v>
      </c>
      <c r="H31" s="10">
        <v>97500486</v>
      </c>
      <c r="I31" s="10">
        <f t="shared" si="17"/>
        <v>103503.70063694268</v>
      </c>
      <c r="J31" s="8">
        <f t="shared" si="18"/>
        <v>99.363057324840767</v>
      </c>
      <c r="K31" s="8">
        <f t="shared" si="8"/>
        <v>0.63694267515923564</v>
      </c>
      <c r="L31">
        <v>6</v>
      </c>
    </row>
    <row r="32" spans="2:12" x14ac:dyDescent="0.3">
      <c r="B32" s="9"/>
      <c r="C32" s="9"/>
      <c r="D32" s="9" t="s">
        <v>17</v>
      </c>
      <c r="E32" s="9">
        <v>278</v>
      </c>
      <c r="F32" s="10">
        <f t="shared" si="3"/>
        <v>15296599.119999999</v>
      </c>
      <c r="G32" s="10">
        <f t="shared" ref="G32:G34" si="19">IFERROR(F32/E32,0)</f>
        <v>55023.737841726615</v>
      </c>
      <c r="H32" s="10">
        <v>34764998</v>
      </c>
      <c r="I32" s="10">
        <f t="shared" si="17"/>
        <v>125053.94964028777</v>
      </c>
      <c r="J32" s="8">
        <f t="shared" si="18"/>
        <v>98.920863309352512</v>
      </c>
      <c r="K32" s="8">
        <f t="shared" si="8"/>
        <v>1.0791366906474822</v>
      </c>
      <c r="L32">
        <v>3</v>
      </c>
    </row>
    <row r="33" spans="2:12" x14ac:dyDescent="0.3">
      <c r="B33" s="9"/>
      <c r="C33" s="9"/>
      <c r="D33" s="9" t="s">
        <v>18</v>
      </c>
      <c r="E33" s="9">
        <v>29</v>
      </c>
      <c r="F33" s="10">
        <f t="shared" si="3"/>
        <v>1938692.8</v>
      </c>
      <c r="G33" s="10">
        <f t="shared" si="19"/>
        <v>66851.475862068968</v>
      </c>
      <c r="H33" s="10">
        <v>4406120</v>
      </c>
      <c r="I33" s="10">
        <f t="shared" si="17"/>
        <v>151935.1724137931</v>
      </c>
      <c r="J33" s="8">
        <f t="shared" si="18"/>
        <v>100</v>
      </c>
      <c r="K33" s="8">
        <f t="shared" si="8"/>
        <v>0</v>
      </c>
      <c r="L33">
        <v>0</v>
      </c>
    </row>
    <row r="34" spans="2:12" x14ac:dyDescent="0.3">
      <c r="B34" s="9"/>
      <c r="C34" s="9"/>
      <c r="D34" s="9" t="s">
        <v>19</v>
      </c>
      <c r="E34" s="9">
        <v>16</v>
      </c>
      <c r="F34" s="10">
        <f t="shared" ref="F34" si="20">H34*44%</f>
        <v>1149640.3600000001</v>
      </c>
      <c r="G34" s="10">
        <f t="shared" si="19"/>
        <v>71852.522500000006</v>
      </c>
      <c r="H34" s="10">
        <v>2612819</v>
      </c>
      <c r="I34" s="10">
        <f t="shared" si="17"/>
        <v>163301.1875</v>
      </c>
      <c r="J34" s="8">
        <f t="shared" si="18"/>
        <v>100</v>
      </c>
      <c r="K34" s="8">
        <f t="shared" si="8"/>
        <v>0</v>
      </c>
      <c r="L34">
        <v>0</v>
      </c>
    </row>
    <row r="35" spans="2:12" x14ac:dyDescent="0.3">
      <c r="B35" s="9"/>
      <c r="C35" s="12" t="s">
        <v>33</v>
      </c>
      <c r="D35" s="12" t="s">
        <v>24</v>
      </c>
      <c r="E35" s="13">
        <f>SUM(E26:E34)</f>
        <v>3975</v>
      </c>
      <c r="F35" s="14">
        <f>SUM(F26:F34)</f>
        <v>156954061.44000003</v>
      </c>
      <c r="G35" s="10">
        <f t="shared" si="13"/>
        <v>39485.298475471704</v>
      </c>
      <c r="H35" s="14">
        <f>SUM(H26:H34)</f>
        <v>356713776</v>
      </c>
      <c r="I35" s="10">
        <f>IFERROR(H35/E35,0)</f>
        <v>89739.314716981127</v>
      </c>
      <c r="J35" s="8"/>
      <c r="K35" s="8"/>
      <c r="L35" s="16">
        <f>SUM(L26:L34)</f>
        <v>51</v>
      </c>
    </row>
    <row r="36" spans="2:12" x14ac:dyDescent="0.3">
      <c r="B36" s="9"/>
      <c r="C36" s="9" t="s">
        <v>10</v>
      </c>
      <c r="D36" s="9" t="s">
        <v>57</v>
      </c>
      <c r="E36" s="9">
        <f>11+386</f>
        <v>397</v>
      </c>
      <c r="F36" s="10">
        <f t="shared" si="3"/>
        <v>11195708.92</v>
      </c>
      <c r="G36" s="10">
        <f t="shared" si="13"/>
        <v>28200.778136020152</v>
      </c>
      <c r="H36" s="10">
        <f>25052852+391941</f>
        <v>25444793</v>
      </c>
      <c r="I36" s="10">
        <f t="shared" ref="I36:I43" si="21">IFERROR(H36/E36,0)</f>
        <v>64092.67758186398</v>
      </c>
      <c r="J36" s="8">
        <f t="shared" si="2"/>
        <v>98.488664987405542</v>
      </c>
      <c r="K36" s="8">
        <f t="shared" si="8"/>
        <v>1.5113350125944585</v>
      </c>
      <c r="L36">
        <v>6</v>
      </c>
    </row>
    <row r="37" spans="2:12" x14ac:dyDescent="0.3">
      <c r="B37" s="9" t="s">
        <v>34</v>
      </c>
      <c r="C37" s="9"/>
      <c r="D37" s="9" t="s">
        <v>23</v>
      </c>
      <c r="E37" s="9">
        <v>606</v>
      </c>
      <c r="F37" s="10">
        <f t="shared" si="3"/>
        <v>20692362.239999998</v>
      </c>
      <c r="G37" s="10">
        <f t="shared" si="13"/>
        <v>34145.81227722772</v>
      </c>
      <c r="H37" s="10">
        <v>47028096</v>
      </c>
      <c r="I37" s="10">
        <f t="shared" si="21"/>
        <v>77604.118811881184</v>
      </c>
      <c r="J37" s="8">
        <f t="shared" si="2"/>
        <v>99.009900990099013</v>
      </c>
      <c r="K37" s="8">
        <f t="shared" si="8"/>
        <v>0.9900990099009902</v>
      </c>
      <c r="L37">
        <v>6</v>
      </c>
    </row>
    <row r="38" spans="2:12" x14ac:dyDescent="0.3">
      <c r="B38" s="9"/>
      <c r="C38" s="9"/>
      <c r="D38" s="9" t="s">
        <v>22</v>
      </c>
      <c r="E38" s="9">
        <v>439</v>
      </c>
      <c r="F38" s="10">
        <f t="shared" si="3"/>
        <v>16300507.52</v>
      </c>
      <c r="G38" s="10">
        <f t="shared" si="13"/>
        <v>37130.996628701592</v>
      </c>
      <c r="H38" s="10">
        <v>37046608</v>
      </c>
      <c r="I38" s="10">
        <f t="shared" si="21"/>
        <v>84388.628701594527</v>
      </c>
      <c r="J38" s="8">
        <f t="shared" si="2"/>
        <v>99.316628701594539</v>
      </c>
      <c r="K38" s="8">
        <f t="shared" si="8"/>
        <v>0.68337129840546706</v>
      </c>
      <c r="L38">
        <v>3</v>
      </c>
    </row>
    <row r="39" spans="2:12" x14ac:dyDescent="0.3">
      <c r="B39" s="9"/>
      <c r="C39" s="9"/>
      <c r="D39" s="9" t="s">
        <v>21</v>
      </c>
      <c r="E39" s="9">
        <v>643</v>
      </c>
      <c r="F39" s="10">
        <f t="shared" si="3"/>
        <v>26026805.199999999</v>
      </c>
      <c r="G39" s="10">
        <f t="shared" si="13"/>
        <v>40477.146500777606</v>
      </c>
      <c r="H39" s="10">
        <v>59151830</v>
      </c>
      <c r="I39" s="10">
        <f t="shared" si="21"/>
        <v>91993.514774494557</v>
      </c>
      <c r="J39" s="8">
        <f t="shared" si="2"/>
        <v>99.377916018662518</v>
      </c>
      <c r="K39" s="8">
        <f t="shared" si="8"/>
        <v>0.62208398133748055</v>
      </c>
      <c r="L39">
        <v>4</v>
      </c>
    </row>
    <row r="40" spans="2:12" x14ac:dyDescent="0.3">
      <c r="B40" s="9"/>
      <c r="C40" s="9" t="s">
        <v>12</v>
      </c>
      <c r="D40" s="9" t="s">
        <v>15</v>
      </c>
      <c r="E40" s="9">
        <v>899</v>
      </c>
      <c r="F40" s="10">
        <f t="shared" si="3"/>
        <v>44181548.399999999</v>
      </c>
      <c r="G40" s="10">
        <f t="shared" si="13"/>
        <v>49145.21512791991</v>
      </c>
      <c r="H40" s="10">
        <v>100412610</v>
      </c>
      <c r="I40" s="10">
        <f t="shared" si="21"/>
        <v>111693.67074527252</v>
      </c>
      <c r="J40" s="8">
        <f t="shared" si="2"/>
        <v>99.443826473859843</v>
      </c>
      <c r="K40" s="8">
        <f t="shared" si="8"/>
        <v>0.55617352614015569</v>
      </c>
      <c r="L40">
        <v>5</v>
      </c>
    </row>
    <row r="41" spans="2:12" x14ac:dyDescent="0.3">
      <c r="B41" s="9"/>
      <c r="C41" s="9"/>
      <c r="D41" s="9" t="s">
        <v>17</v>
      </c>
      <c r="E41" s="9">
        <v>378</v>
      </c>
      <c r="F41" s="10">
        <f t="shared" si="3"/>
        <v>20450180.960000001</v>
      </c>
      <c r="G41" s="10">
        <f t="shared" si="13"/>
        <v>54101.007830687835</v>
      </c>
      <c r="H41" s="10">
        <v>46477684</v>
      </c>
      <c r="I41" s="10">
        <f t="shared" si="21"/>
        <v>122956.83597883598</v>
      </c>
      <c r="J41" s="8">
        <f t="shared" si="2"/>
        <v>99.206349206349202</v>
      </c>
      <c r="K41" s="8">
        <f t="shared" si="8"/>
        <v>0.79365079365079372</v>
      </c>
      <c r="L41">
        <v>3</v>
      </c>
    </row>
    <row r="42" spans="2:12" x14ac:dyDescent="0.3">
      <c r="B42" s="9"/>
      <c r="C42" s="9"/>
      <c r="D42" s="9" t="s">
        <v>54</v>
      </c>
      <c r="E42" s="9">
        <f>49+8+5</f>
        <v>62</v>
      </c>
      <c r="F42" s="10">
        <f t="shared" ref="F42" si="22">H42*44%</f>
        <v>4070298.7600000002</v>
      </c>
      <c r="G42" s="10">
        <f t="shared" si="13"/>
        <v>65649.98000000001</v>
      </c>
      <c r="H42" s="10">
        <f>7006681+1341740+902258</f>
        <v>9250679</v>
      </c>
      <c r="I42" s="10">
        <f t="shared" si="21"/>
        <v>149204.5</v>
      </c>
      <c r="J42" s="8">
        <f t="shared" si="2"/>
        <v>100</v>
      </c>
      <c r="K42" s="8">
        <f t="shared" si="8"/>
        <v>0</v>
      </c>
      <c r="L42">
        <v>0</v>
      </c>
    </row>
    <row r="43" spans="2:12" x14ac:dyDescent="0.3">
      <c r="B43" s="9"/>
      <c r="C43" s="12" t="s">
        <v>34</v>
      </c>
      <c r="D43" s="12" t="s">
        <v>24</v>
      </c>
      <c r="E43" s="13">
        <f>SUM(E36:E42)</f>
        <v>3424</v>
      </c>
      <c r="F43" s="14">
        <f>SUM(F36:F42)</f>
        <v>142917412</v>
      </c>
      <c r="G43" s="10">
        <f t="shared" si="13"/>
        <v>41739.898364485984</v>
      </c>
      <c r="H43" s="14">
        <f>SUM(H36:H42)</f>
        <v>324812300</v>
      </c>
      <c r="I43" s="10">
        <f t="shared" si="21"/>
        <v>94863.405373831774</v>
      </c>
      <c r="J43" s="15"/>
      <c r="K43" s="15"/>
      <c r="L43" s="16">
        <f>SUM(L36:L42)</f>
        <v>27</v>
      </c>
    </row>
    <row r="44" spans="2:12" x14ac:dyDescent="0.3">
      <c r="L44">
        <f>L43+L35+L25+L13</f>
        <v>131</v>
      </c>
    </row>
    <row r="46" spans="2:12" x14ac:dyDescent="0.3">
      <c r="B46" t="s">
        <v>43</v>
      </c>
    </row>
    <row r="47" spans="2:12" x14ac:dyDescent="0.3">
      <c r="B47" t="s">
        <v>44</v>
      </c>
    </row>
    <row r="49" spans="2:2" x14ac:dyDescent="0.3">
      <c r="B49" t="s">
        <v>45</v>
      </c>
    </row>
    <row r="50" spans="2:2" x14ac:dyDescent="0.3">
      <c r="B50" t="s">
        <v>52</v>
      </c>
    </row>
  </sheetData>
  <sheetProtection sheet="1" objects="1" scenarios="1"/>
  <mergeCells count="5">
    <mergeCell ref="B14:B20"/>
    <mergeCell ref="E3:I3"/>
    <mergeCell ref="J3:K3"/>
    <mergeCell ref="F4:G4"/>
    <mergeCell ref="H4:I4"/>
  </mergeCells>
  <printOptions horizontalCentered="1" verticalCentered="1"/>
  <pageMargins left="0.19685039370078741" right="0.11811023622047245" top="0.19685039370078741" bottom="0.19685039370078741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0" sqref="D20"/>
    </sheetView>
  </sheetViews>
  <sheetFormatPr defaultRowHeight="14.4" x14ac:dyDescent="0.3"/>
  <cols>
    <col min="2" max="2" width="28.88671875" customWidth="1"/>
    <col min="3" max="3" width="9.109375" style="7"/>
    <col min="4" max="4" width="21" style="5" customWidth="1"/>
    <col min="6" max="6" width="10.109375" bestFit="1" customWidth="1"/>
    <col min="8" max="8" width="15.44140625" customWidth="1"/>
  </cols>
  <sheetData>
    <row r="1" spans="1:6" x14ac:dyDescent="0.3">
      <c r="A1" s="18" t="s">
        <v>25</v>
      </c>
    </row>
    <row r="2" spans="1:6" x14ac:dyDescent="0.3">
      <c r="A2" s="18"/>
    </row>
    <row r="3" spans="1:6" x14ac:dyDescent="0.3">
      <c r="A3" s="18"/>
    </row>
    <row r="4" spans="1:6" x14ac:dyDescent="0.3">
      <c r="A4" s="18"/>
      <c r="B4" s="9"/>
      <c r="C4" s="25" t="s">
        <v>27</v>
      </c>
      <c r="D4" s="26" t="s">
        <v>31</v>
      </c>
    </row>
    <row r="5" spans="1:6" x14ac:dyDescent="0.3">
      <c r="A5" s="18"/>
      <c r="B5" s="11" t="s">
        <v>50</v>
      </c>
      <c r="C5" s="17">
        <v>13731</v>
      </c>
      <c r="D5" s="14">
        <v>1320573567</v>
      </c>
    </row>
    <row r="7" spans="1:6" x14ac:dyDescent="0.3">
      <c r="B7" s="24" t="s">
        <v>26</v>
      </c>
      <c r="C7" s="25" t="s">
        <v>27</v>
      </c>
      <c r="D7" s="26" t="s">
        <v>6</v>
      </c>
    </row>
    <row r="8" spans="1:6" x14ac:dyDescent="0.3">
      <c r="B8" s="9" t="s">
        <v>32</v>
      </c>
      <c r="C8" s="11">
        <f>'Summary by Band-Post code !!!'!$E$13</f>
        <v>2862</v>
      </c>
      <c r="D8" s="10">
        <f>'Summary by Band-Post code !!!'!$H$13</f>
        <v>278515073</v>
      </c>
    </row>
    <row r="9" spans="1:6" x14ac:dyDescent="0.3">
      <c r="B9" s="9" t="s">
        <v>38</v>
      </c>
      <c r="C9" s="11">
        <f>'Summary by Band-Post code !!!'!$E$25</f>
        <v>3470</v>
      </c>
      <c r="D9" s="10">
        <f>'Summary by Band-Post code !!!'!$H$25</f>
        <v>360532418</v>
      </c>
    </row>
    <row r="10" spans="1:6" x14ac:dyDescent="0.3">
      <c r="B10" s="9" t="s">
        <v>33</v>
      </c>
      <c r="C10" s="11">
        <f>'Summary by Band-Post code !!!'!$E$35</f>
        <v>3975</v>
      </c>
      <c r="D10" s="10">
        <f>'Summary by Band-Post code !!!'!$H$35</f>
        <v>356713776</v>
      </c>
    </row>
    <row r="11" spans="1:6" x14ac:dyDescent="0.3">
      <c r="B11" s="9" t="s">
        <v>34</v>
      </c>
      <c r="C11" s="11">
        <f>'Summary by Band-Post code !!!'!$E$43</f>
        <v>3424</v>
      </c>
      <c r="D11" s="10">
        <f>'Summary by Band-Post code !!!'!$H$43</f>
        <v>324812300</v>
      </c>
    </row>
    <row r="12" spans="1:6" s="16" customFormat="1" x14ac:dyDescent="0.3">
      <c r="B12" s="12" t="s">
        <v>39</v>
      </c>
      <c r="C12" s="17">
        <f>SUM(C8:C11)</f>
        <v>13731</v>
      </c>
      <c r="D12" s="14">
        <f>SUM(D8:D11)</f>
        <v>1320573567</v>
      </c>
      <c r="F12" s="31"/>
    </row>
    <row r="13" spans="1:6" x14ac:dyDescent="0.3">
      <c r="B13" s="23" t="s">
        <v>28</v>
      </c>
      <c r="C13" s="11">
        <v>924</v>
      </c>
      <c r="D13" s="10"/>
    </row>
    <row r="14" spans="1:6" x14ac:dyDescent="0.3">
      <c r="B14" s="23" t="s">
        <v>30</v>
      </c>
      <c r="C14" s="11">
        <v>20</v>
      </c>
      <c r="D14" s="10"/>
    </row>
    <row r="15" spans="1:6" x14ac:dyDescent="0.3">
      <c r="B15" s="23" t="s">
        <v>53</v>
      </c>
      <c r="C15" s="11">
        <v>5</v>
      </c>
      <c r="D15" s="10"/>
    </row>
    <row r="16" spans="1:6" x14ac:dyDescent="0.3">
      <c r="B16" s="9"/>
      <c r="C16" s="17">
        <f>SUM(C12:C15)</f>
        <v>14680</v>
      </c>
      <c r="D16" s="10"/>
    </row>
    <row r="18" spans="2:4" x14ac:dyDescent="0.3">
      <c r="B18" t="s">
        <v>48</v>
      </c>
      <c r="C18" s="7">
        <v>14588</v>
      </c>
    </row>
    <row r="19" spans="2:4" x14ac:dyDescent="0.3">
      <c r="B19" t="s">
        <v>49</v>
      </c>
      <c r="C19" s="7">
        <v>38</v>
      </c>
    </row>
    <row r="20" spans="2:4" x14ac:dyDescent="0.3">
      <c r="B20" t="s">
        <v>29</v>
      </c>
      <c r="C20" s="7">
        <v>30</v>
      </c>
    </row>
    <row r="21" spans="2:4" x14ac:dyDescent="0.3">
      <c r="B21" t="s">
        <v>30</v>
      </c>
      <c r="C21" s="7">
        <v>20</v>
      </c>
    </row>
    <row r="22" spans="2:4" x14ac:dyDescent="0.3">
      <c r="B22" t="s">
        <v>53</v>
      </c>
      <c r="C22" s="7">
        <v>5</v>
      </c>
    </row>
    <row r="23" spans="2:4" x14ac:dyDescent="0.3">
      <c r="C23" s="22">
        <f>SUM(C18:C22)</f>
        <v>14681</v>
      </c>
    </row>
    <row r="24" spans="2:4" x14ac:dyDescent="0.3">
      <c r="B24" t="s">
        <v>47</v>
      </c>
      <c r="C24" s="22">
        <v>1</v>
      </c>
    </row>
    <row r="25" spans="2:4" x14ac:dyDescent="0.3">
      <c r="C25" s="22">
        <f>C23-C24</f>
        <v>14680</v>
      </c>
    </row>
    <row r="26" spans="2:4" ht="10.5" customHeight="1" x14ac:dyDescent="0.3"/>
    <row r="27" spans="2:4" x14ac:dyDescent="0.3">
      <c r="C27" s="7">
        <f>C25-C16</f>
        <v>0</v>
      </c>
      <c r="D27" s="5" t="s">
        <v>46</v>
      </c>
    </row>
    <row r="29" spans="2:4" x14ac:dyDescent="0.3">
      <c r="D2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:I28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 !!!</vt:lpstr>
      <vt:lpstr>Summary by Post code</vt:lpstr>
      <vt:lpstr>Sheet1</vt:lpstr>
      <vt:lpstr>Sheet2</vt:lpstr>
    </vt:vector>
  </TitlesOfParts>
  <Company>NTC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Gary Russell</cp:lastModifiedBy>
  <cp:lastPrinted>2018-04-16T09:48:49Z</cp:lastPrinted>
  <dcterms:created xsi:type="dcterms:W3CDTF">2015-03-18T10:44:35Z</dcterms:created>
  <dcterms:modified xsi:type="dcterms:W3CDTF">2019-04-18T08:33:48Z</dcterms:modified>
</cp:coreProperties>
</file>