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S:\Policy&amp;Partner\SP&amp;RTeam\Performance\Transparency data\LA Land &amp; Assets\"/>
    </mc:Choice>
  </mc:AlternateContent>
  <xr:revisionPtr revIDLastSave="0" documentId="8_{6437E885-9E2F-4A01-B982-7ACBB6917F31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Summary by Band-Post code !!!" sheetId="4" r:id="rId1"/>
    <sheet name="Summary by Post code" sheetId="5" state="hidden" r:id="rId2"/>
    <sheet name="Sheet1" sheetId="6" state="hidden" r:id="rId3"/>
    <sheet name="Summary totals" sheetId="7" state="hidden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10" i="4" l="1"/>
  <c r="H37" i="4" l="1"/>
  <c r="E37" i="4"/>
  <c r="E24" i="4"/>
  <c r="H24" i="4"/>
  <c r="F24" i="4" s="1"/>
  <c r="H36" i="4"/>
  <c r="E36" i="4"/>
  <c r="H43" i="4"/>
  <c r="E43" i="4"/>
  <c r="H11" i="4"/>
  <c r="H6" i="4"/>
  <c r="E6" i="4"/>
  <c r="E11" i="4"/>
  <c r="F19" i="4"/>
  <c r="F20" i="4"/>
  <c r="F21" i="4"/>
  <c r="F22" i="4"/>
  <c r="F23" i="4"/>
  <c r="F18" i="4"/>
  <c r="F17" i="4"/>
  <c r="F16" i="4"/>
  <c r="F15" i="4"/>
  <c r="F14" i="4"/>
  <c r="F13" i="4"/>
  <c r="L35" i="4" l="1"/>
  <c r="L25" i="4"/>
  <c r="I20" i="7" l="1"/>
  <c r="G3" i="7" l="1"/>
  <c r="D22" i="7"/>
  <c r="D24" i="7" s="1"/>
  <c r="L44" i="4" l="1"/>
  <c r="K42" i="4"/>
  <c r="K41" i="4"/>
  <c r="K40" i="4"/>
  <c r="K39" i="4"/>
  <c r="K38" i="4"/>
  <c r="K37" i="4"/>
  <c r="K34" i="4"/>
  <c r="K33" i="4"/>
  <c r="K32" i="4"/>
  <c r="K31" i="4"/>
  <c r="K30" i="4"/>
  <c r="K29" i="4"/>
  <c r="K28" i="4"/>
  <c r="K27" i="4"/>
  <c r="K26" i="4"/>
  <c r="K23" i="4"/>
  <c r="K22" i="4"/>
  <c r="K21" i="4"/>
  <c r="K20" i="4"/>
  <c r="K19" i="4"/>
  <c r="K18" i="4"/>
  <c r="K17" i="4"/>
  <c r="K16" i="4"/>
  <c r="K15" i="4"/>
  <c r="K14" i="4"/>
  <c r="K13" i="4"/>
  <c r="K9" i="4"/>
  <c r="K10" i="4"/>
  <c r="K11" i="4"/>
  <c r="J14" i="4" l="1"/>
  <c r="I14" i="4"/>
  <c r="G14" i="4"/>
  <c r="G15" i="4"/>
  <c r="I15" i="4"/>
  <c r="J15" i="4"/>
  <c r="J37" i="4"/>
  <c r="I37" i="4"/>
  <c r="F37" i="4"/>
  <c r="G37" i="4" s="1"/>
  <c r="K36" i="4"/>
  <c r="H12" i="4" l="1"/>
  <c r="F6" i="7" s="1"/>
  <c r="K7" i="4"/>
  <c r="J7" i="4" s="1"/>
  <c r="K8" i="4"/>
  <c r="J8" i="4" s="1"/>
  <c r="J9" i="4"/>
  <c r="J10" i="4"/>
  <c r="J11" i="4"/>
  <c r="E12" i="4" l="1"/>
  <c r="E6" i="7" s="1"/>
  <c r="K43" i="4"/>
  <c r="K24" i="4"/>
  <c r="H25" i="4" l="1"/>
  <c r="F7" i="7" s="1"/>
  <c r="E25" i="4"/>
  <c r="E7" i="7" s="1"/>
  <c r="E44" i="4"/>
  <c r="E9" i="7" s="1"/>
  <c r="F11" i="4"/>
  <c r="H44" i="4"/>
  <c r="F9" i="7" s="1"/>
  <c r="H35" i="4"/>
  <c r="F8" i="7" s="1"/>
  <c r="E35" i="4"/>
  <c r="E8" i="7" s="1"/>
  <c r="J34" i="4"/>
  <c r="I34" i="4"/>
  <c r="F34" i="4"/>
  <c r="G34" i="4" s="1"/>
  <c r="C23" i="5"/>
  <c r="C25" i="5" s="1"/>
  <c r="F43" i="4"/>
  <c r="J43" i="4"/>
  <c r="J33" i="4"/>
  <c r="F33" i="4"/>
  <c r="G33" i="4" s="1"/>
  <c r="I33" i="4"/>
  <c r="L12" i="4"/>
  <c r="F41" i="4"/>
  <c r="F40" i="4"/>
  <c r="F39" i="4"/>
  <c r="F38" i="4"/>
  <c r="F36" i="4"/>
  <c r="F32" i="4"/>
  <c r="F31" i="4"/>
  <c r="F30" i="4"/>
  <c r="F29" i="4"/>
  <c r="F28" i="4"/>
  <c r="F27" i="4"/>
  <c r="F26" i="4"/>
  <c r="F7" i="4"/>
  <c r="F8" i="4"/>
  <c r="F9" i="4"/>
  <c r="F10" i="4"/>
  <c r="F10" i="7" l="1"/>
  <c r="E10" i="7"/>
  <c r="E14" i="7" s="1"/>
  <c r="I35" i="4"/>
  <c r="C8" i="5"/>
  <c r="F35" i="4"/>
  <c r="F42" i="4"/>
  <c r="F44" i="4" s="1"/>
  <c r="G9" i="7" s="1"/>
  <c r="F6" i="4"/>
  <c r="F12" i="4" s="1"/>
  <c r="G6" i="7" s="1"/>
  <c r="I24" i="4"/>
  <c r="G24" i="4"/>
  <c r="J24" i="4"/>
  <c r="I43" i="4"/>
  <c r="G43" i="4"/>
  <c r="J13" i="4"/>
  <c r="C10" i="5"/>
  <c r="G41" i="4"/>
  <c r="G40" i="4"/>
  <c r="G39" i="4"/>
  <c r="G38" i="4"/>
  <c r="J32" i="4"/>
  <c r="G32" i="4"/>
  <c r="J31" i="4"/>
  <c r="G31" i="4"/>
  <c r="I31" i="4"/>
  <c r="G30" i="4"/>
  <c r="J22" i="4"/>
  <c r="J23" i="4"/>
  <c r="G22" i="4"/>
  <c r="I22" i="4"/>
  <c r="G11" i="4"/>
  <c r="J42" i="4"/>
  <c r="C11" i="5"/>
  <c r="J21" i="4"/>
  <c r="I8" i="4"/>
  <c r="I7" i="4"/>
  <c r="I6" i="4"/>
  <c r="J41" i="4"/>
  <c r="I41" i="4"/>
  <c r="J40" i="4"/>
  <c r="I40" i="4"/>
  <c r="J39" i="4"/>
  <c r="I39" i="4"/>
  <c r="J38" i="4"/>
  <c r="I38" i="4"/>
  <c r="J36" i="4"/>
  <c r="I36" i="4"/>
  <c r="I30" i="4"/>
  <c r="J29" i="4"/>
  <c r="I29" i="4"/>
  <c r="G29" i="4"/>
  <c r="J28" i="4"/>
  <c r="I28" i="4"/>
  <c r="G28" i="4"/>
  <c r="J27" i="4"/>
  <c r="I27" i="4"/>
  <c r="G27" i="4"/>
  <c r="J19" i="4"/>
  <c r="I19" i="4"/>
  <c r="G19" i="4"/>
  <c r="J18" i="4"/>
  <c r="I18" i="4"/>
  <c r="G18" i="4"/>
  <c r="G17" i="4"/>
  <c r="J16" i="4"/>
  <c r="I16" i="4"/>
  <c r="G16" i="4"/>
  <c r="I10" i="4"/>
  <c r="G10" i="4"/>
  <c r="I9" i="4"/>
  <c r="G9" i="4"/>
  <c r="G8" i="4"/>
  <c r="G7" i="4"/>
  <c r="K6" i="4"/>
  <c r="J6" i="4" s="1"/>
  <c r="G35" i="4" l="1"/>
  <c r="G8" i="7"/>
  <c r="G6" i="4"/>
  <c r="F25" i="4"/>
  <c r="G7" i="7" s="1"/>
  <c r="G13" i="4"/>
  <c r="J17" i="4"/>
  <c r="I17" i="4"/>
  <c r="I20" i="4"/>
  <c r="G20" i="4"/>
  <c r="J20" i="4"/>
  <c r="I13" i="4"/>
  <c r="D11" i="5"/>
  <c r="D8" i="5"/>
  <c r="G26" i="4"/>
  <c r="J26" i="4"/>
  <c r="I26" i="4"/>
  <c r="I32" i="4"/>
  <c r="G44" i="4"/>
  <c r="I11" i="4"/>
  <c r="J30" i="4"/>
  <c r="I42" i="4"/>
  <c r="G42" i="4"/>
  <c r="D9" i="5"/>
  <c r="C9" i="5"/>
  <c r="C12" i="5" s="1"/>
  <c r="I23" i="4"/>
  <c r="G23" i="4"/>
  <c r="I21" i="4"/>
  <c r="G21" i="4"/>
  <c r="G12" i="4"/>
  <c r="G36" i="4"/>
  <c r="G10" i="7" l="1"/>
  <c r="C16" i="5"/>
  <c r="C27" i="5" s="1"/>
  <c r="I44" i="4"/>
  <c r="I12" i="4"/>
  <c r="D10" i="5"/>
  <c r="D12" i="5" s="1"/>
  <c r="G25" i="4"/>
  <c r="I25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Gary Russell</author>
  </authors>
  <commentList>
    <comment ref="E41" authorId="0" shapeId="0" xr:uid="{3587AA43-60D0-46EC-B3D7-3241AC0CC3A7}">
      <text>
        <r>
          <rPr>
            <b/>
            <sz val="9"/>
            <color indexed="81"/>
            <rFont val="Tahoma"/>
            <charset val="1"/>
          </rPr>
          <t>Gary Russell: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Gary Russell</author>
    <author>grus0406</author>
  </authors>
  <commentList>
    <comment ref="D17" authorId="0" shapeId="0" xr:uid="{211B3C57-F5F0-43A3-A6BE-D59339711BB6}">
      <text>
        <r>
          <rPr>
            <b/>
            <sz val="9"/>
            <color indexed="81"/>
            <rFont val="Tahoma"/>
            <charset val="1"/>
          </rPr>
          <t>Gary Russell:</t>
        </r>
        <r>
          <rPr>
            <sz val="9"/>
            <color indexed="81"/>
            <rFont val="Tahoma"/>
            <charset val="1"/>
          </rPr>
          <t xml:space="preserve">
9 denton avenue</t>
        </r>
      </text>
    </comment>
    <comment ref="L22" authorId="1" shapeId="0" xr:uid="{5197A598-B486-4B0C-80F7-5EC0392C2ABE}">
      <text>
        <r>
          <rPr>
            <sz val="8"/>
            <color indexed="81"/>
            <rFont val="Tahoma"/>
            <family val="2"/>
          </rPr>
          <t xml:space="preserve">Includes 6 dwellings sub let to ASC
</t>
        </r>
      </text>
    </comment>
  </commentList>
</comments>
</file>

<file path=xl/sharedStrings.xml><?xml version="1.0" encoding="utf-8"?>
<sst xmlns="http://schemas.openxmlformats.org/spreadsheetml/2006/main" count="127" uniqueCount="75">
  <si>
    <t>Postal Sector</t>
  </si>
  <si>
    <t>Valuation Band Range</t>
  </si>
  <si>
    <t>Intervening Bands</t>
  </si>
  <si>
    <t>Dwellings Value</t>
  </si>
  <si>
    <t>Total Number Social Housing Dwellings</t>
  </si>
  <si>
    <t>EUV-SH Values</t>
  </si>
  <si>
    <t>Market Values</t>
  </si>
  <si>
    <t>% Vacant dwellings</t>
  </si>
  <si>
    <t>% occupied dwellings</t>
  </si>
  <si>
    <t>Tenure Status</t>
  </si>
  <si>
    <t>&lt;£50,000 - £99,000</t>
  </si>
  <si>
    <t>£60,000 - £69,999</t>
  </si>
  <si>
    <t>£100,000 - £299,999</t>
  </si>
  <si>
    <t>Total</t>
  </si>
  <si>
    <t>Average</t>
  </si>
  <si>
    <t>£100,000 - £119,999</t>
  </si>
  <si>
    <t>No Void</t>
  </si>
  <si>
    <t>£120,000 - £139,999</t>
  </si>
  <si>
    <t>£140,000 - £159,999</t>
  </si>
  <si>
    <t>£160,000 - £179,999</t>
  </si>
  <si>
    <t>£180,000 - £199,999</t>
  </si>
  <si>
    <t>£90,000 - £99,999</t>
  </si>
  <si>
    <t>£80,000 - £89,999</t>
  </si>
  <si>
    <t>£70,000 - £79,999</t>
  </si>
  <si>
    <t>Totals</t>
  </si>
  <si>
    <t>Summary Sheet</t>
  </si>
  <si>
    <t>Post Code</t>
  </si>
  <si>
    <t>No`s</t>
  </si>
  <si>
    <t>Sheltered</t>
  </si>
  <si>
    <t>Dispersed</t>
  </si>
  <si>
    <t>YPS</t>
  </si>
  <si>
    <t>Values</t>
  </si>
  <si>
    <t>NE12 ***</t>
  </si>
  <si>
    <t>NE28 ***</t>
  </si>
  <si>
    <t>NE29 ***</t>
  </si>
  <si>
    <t xml:space="preserve">NE07 *** NE13 *** NE23 *** NE25 *** NE26 *** NE27 ***  NE30 ***  </t>
  </si>
  <si>
    <t>Various</t>
  </si>
  <si>
    <t>&lt;£50,000 - £159,999</t>
  </si>
  <si>
    <t>NE13,NE23,NE25,NE26,NE27 ***,</t>
  </si>
  <si>
    <t>General Stock Totals</t>
  </si>
  <si>
    <t>£100,000 - £999,999</t>
  </si>
  <si>
    <t>&lt; £69,999</t>
  </si>
  <si>
    <t>&lt; £59,999</t>
  </si>
  <si>
    <t>Valuations of a Registered Social housing provider housing stock for secured lending purposes shall be  on the basis of either,</t>
  </si>
  <si>
    <t>Market Value or Existing user value for social housing  (EUV- SH)</t>
  </si>
  <si>
    <t>Market value - This is the estimated value that the dwelling would be worth on the open market</t>
  </si>
  <si>
    <t>Difference</t>
  </si>
  <si>
    <t>Less awaiting disposal</t>
  </si>
  <si>
    <t>General Stock</t>
  </si>
  <si>
    <t>Affordable</t>
  </si>
  <si>
    <t>Capital asset Totals</t>
  </si>
  <si>
    <t>£200,000 - £999,999</t>
  </si>
  <si>
    <t>Existing User value for social Housing (EUV-SH) - Market Valuation discounted to account for the dwellling would remain at existing use. Eg tenanted social rented accommodation</t>
  </si>
  <si>
    <t>HMO</t>
  </si>
  <si>
    <t>£140,000 - £199,999</t>
  </si>
  <si>
    <t>&lt; £50,000</t>
  </si>
  <si>
    <t>£50,000 - £59,999</t>
  </si>
  <si>
    <t>Summary sheet</t>
  </si>
  <si>
    <t>Capital Asset Total</t>
  </si>
  <si>
    <t>market values</t>
  </si>
  <si>
    <t>Social discount value</t>
  </si>
  <si>
    <t>NE12***</t>
  </si>
  <si>
    <t>NE13,NE23,NE25,NE26,NE27***</t>
  </si>
  <si>
    <t>NE28***</t>
  </si>
  <si>
    <t>NE29***</t>
  </si>
  <si>
    <t>General stock totals</t>
  </si>
  <si>
    <t>Less Awaiting disposal</t>
  </si>
  <si>
    <t>Market values</t>
  </si>
  <si>
    <t>23CB</t>
  </si>
  <si>
    <t>11A Esplanade</t>
  </si>
  <si>
    <t>NE29</t>
  </si>
  <si>
    <t>Awaiting Disposal</t>
  </si>
  <si>
    <t>Remove from figures</t>
  </si>
  <si>
    <t>£120,000 - £999,999</t>
  </si>
  <si>
    <t>Social Housing Asset data 2021 (Excludes Sheltered PFI schemes and dwellings awaiting disposal)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</si>
</sst>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£&quot;#,##0"/>
    <numFmt numFmtId="165" formatCode="&quot;£&quot;#,##0.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8"/>
      <color indexed="81"/>
      <name val="Tahoma"/>
      <family val="2"/>
    </font>
    <font>
      <sz val="10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1" fillId="0" borderId="0" xfId="0" applyFont="1" applyAlignment="1">
      <alignment wrapText="1"/>
    </xf>
    <xf numFmtId="0" fontId="1" fillId="0" borderId="1" xfId="0" applyFont="1" applyBorder="1" applyAlignment="1">
      <alignment horizontal="center" vertical="top" wrapText="1"/>
    </xf>
    <xf numFmtId="164" fontId="0" fillId="0" borderId="0" xfId="0" applyNumberFormat="1"/>
    <xf numFmtId="0" fontId="0" fillId="0" borderId="0" xfId="0" applyFont="1" applyBorder="1" applyAlignment="1">
      <alignment horizontal="center" wrapText="1"/>
    </xf>
    <xf numFmtId="3" fontId="0" fillId="0" borderId="0" xfId="0" applyNumberFormat="1"/>
    <xf numFmtId="2" fontId="0" fillId="0" borderId="1" xfId="0" applyNumberFormat="1" applyBorder="1"/>
    <xf numFmtId="0" fontId="0" fillId="0" borderId="1" xfId="0" applyBorder="1"/>
    <xf numFmtId="164" fontId="0" fillId="0" borderId="1" xfId="0" applyNumberFormat="1" applyBorder="1"/>
    <xf numFmtId="3" fontId="0" fillId="0" borderId="1" xfId="0" applyNumberFormat="1" applyBorder="1"/>
    <xf numFmtId="0" fontId="1" fillId="0" borderId="1" xfId="0" applyFont="1" applyBorder="1" applyAlignment="1">
      <alignment horizontal="right"/>
    </xf>
    <xf numFmtId="0" fontId="1" fillId="0" borderId="1" xfId="0" applyFont="1" applyBorder="1"/>
    <xf numFmtId="164" fontId="1" fillId="0" borderId="1" xfId="0" applyNumberFormat="1" applyFont="1" applyBorder="1"/>
    <xf numFmtId="2" fontId="1" fillId="0" borderId="1" xfId="0" applyNumberFormat="1" applyFont="1" applyBorder="1"/>
    <xf numFmtId="0" fontId="1" fillId="0" borderId="0" xfId="0" applyFont="1"/>
    <xf numFmtId="3" fontId="1" fillId="0" borderId="1" xfId="0" applyNumberFormat="1" applyFont="1" applyBorder="1"/>
    <xf numFmtId="0" fontId="2" fillId="0" borderId="0" xfId="0" applyFont="1"/>
    <xf numFmtId="0" fontId="0" fillId="2" borderId="2" xfId="0" applyFill="1" applyBorder="1" applyAlignment="1">
      <alignment wrapText="1"/>
    </xf>
    <xf numFmtId="0" fontId="0" fillId="2" borderId="3" xfId="0" applyFill="1" applyBorder="1" applyAlignment="1">
      <alignment wrapText="1"/>
    </xf>
    <xf numFmtId="0" fontId="0" fillId="2" borderId="4" xfId="0" applyFill="1" applyBorder="1" applyAlignment="1">
      <alignment wrapText="1"/>
    </xf>
    <xf numFmtId="3" fontId="1" fillId="0" borderId="0" xfId="0" applyNumberFormat="1" applyFont="1"/>
    <xf numFmtId="0" fontId="0" fillId="0" borderId="1" xfId="0" applyFill="1" applyBorder="1"/>
    <xf numFmtId="0" fontId="2" fillId="0" borderId="1" xfId="0" applyFont="1" applyBorder="1" applyAlignment="1">
      <alignment horizontal="center"/>
    </xf>
    <xf numFmtId="3" fontId="2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1" fillId="0" borderId="5" xfId="0" applyFont="1" applyBorder="1" applyAlignment="1">
      <alignment vertical="top" wrapText="1"/>
    </xf>
    <xf numFmtId="164" fontId="1" fillId="0" borderId="1" xfId="0" applyNumberFormat="1" applyFont="1" applyBorder="1" applyAlignment="1">
      <alignment horizontal="center" wrapText="1"/>
    </xf>
    <xf numFmtId="164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164" fontId="1" fillId="0" borderId="0" xfId="0" applyNumberFormat="1" applyFont="1"/>
    <xf numFmtId="165" fontId="0" fillId="0" borderId="1" xfId="0" applyNumberFormat="1" applyBorder="1"/>
    <xf numFmtId="0" fontId="0" fillId="4" borderId="0" xfId="0" applyFill="1"/>
    <xf numFmtId="3" fontId="0" fillId="4" borderId="1" xfId="0" applyNumberFormat="1" applyFill="1" applyBorder="1"/>
    <xf numFmtId="165" fontId="0" fillId="5" borderId="1" xfId="0" applyNumberFormat="1" applyFill="1" applyBorder="1"/>
    <xf numFmtId="3" fontId="0" fillId="5" borderId="1" xfId="0" applyNumberFormat="1" applyFill="1" applyBorder="1"/>
    <xf numFmtId="3" fontId="4" fillId="5" borderId="1" xfId="0" applyNumberFormat="1" applyFont="1" applyFill="1" applyBorder="1"/>
    <xf numFmtId="165" fontId="0" fillId="0" borderId="0" xfId="0" applyNumberFormat="1"/>
    <xf numFmtId="164" fontId="7" fillId="5" borderId="5" xfId="0" applyNumberFormat="1" applyFont="1" applyFill="1" applyBorder="1"/>
    <xf numFmtId="0" fontId="0" fillId="0" borderId="5" xfId="0" applyBorder="1" applyAlignment="1">
      <alignment wrapText="1"/>
    </xf>
    <xf numFmtId="0" fontId="0" fillId="0" borderId="6" xfId="0" applyBorder="1" applyAlignment="1"/>
    <xf numFmtId="0" fontId="0" fillId="0" borderId="7" xfId="0" applyBorder="1" applyAlignment="1"/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164" fontId="1" fillId="0" borderId="5" xfId="0" applyNumberFormat="1" applyFont="1" applyBorder="1" applyAlignment="1">
      <alignment horizontal="center" vertical="top" wrapText="1"/>
    </xf>
    <xf numFmtId="165" fontId="0" fillId="5" borderId="2" xfId="0" applyNumberFormat="1" applyFill="1" applyBorder="1" applyAlignment="1"/>
    <xf numFmtId="165" fontId="0" fillId="5" borderId="4" xfId="0" applyNumberFormat="1" applyFill="1" applyBorder="1" applyAlignment="1"/>
    <xf numFmtId="0" fontId="0" fillId="0" borderId="1" xfId="0" applyBorder="1" applyAlignment="1">
      <alignment horizontal="right"/>
    </xf>
    <xf numFmtId="0" fontId="0" fillId="0" borderId="1" xfId="0" applyBorder="1" applyAlignment="1">
      <alignment horizontal="center"/>
    </xf>
    <xf numFmtId="0" fontId="0" fillId="0" borderId="1" xfId="0" applyBorder="1" applyAlignment="1"/>
    <xf numFmtId="0" fontId="0" fillId="5" borderId="4" xfId="0" applyFill="1" applyBorder="1" applyAlignment="1"/>
    <xf numFmtId="165" fontId="0" fillId="0" borderId="2" xfId="0" applyNumberFormat="1" applyBorder="1" applyAlignment="1"/>
    <xf numFmtId="165" fontId="0" fillId="0" borderId="4" xfId="0" applyNumberFormat="1" applyBorder="1" applyAlignment="1"/>
    <xf numFmtId="0" fontId="0" fillId="0" borderId="2" xfId="0" applyBorder="1" applyAlignment="1">
      <alignment horizontal="right"/>
    </xf>
    <xf numFmtId="0" fontId="0" fillId="0" borderId="3" xfId="0" applyBorder="1" applyAlignment="1">
      <alignment horizontal="right"/>
    </xf>
    <xf numFmtId="0" fontId="0" fillId="0" borderId="4" xfId="0" applyBorder="1" applyAlignment="1">
      <alignment horizontal="right"/>
    </xf>
    <xf numFmtId="0" fontId="0" fillId="3" borderId="2" xfId="0" applyFill="1" applyBorder="1" applyAlignment="1">
      <alignment horizontal="right"/>
    </xf>
    <xf numFmtId="0" fontId="0" fillId="3" borderId="3" xfId="0" applyFill="1" applyBorder="1" applyAlignment="1">
      <alignment horizontal="right"/>
    </xf>
    <xf numFmtId="0" fontId="0" fillId="3" borderId="4" xfId="0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50"/>
  <sheetViews>
    <sheetView tabSelected="1" workbookViewId="0">
      <selection activeCell="O11" sqref="O11"/>
    </sheetView>
  </sheetViews>
  <sheetFormatPr defaultRowHeight="14.4" x14ac:dyDescent="0.3"/>
  <cols>
    <col min="1" max="1" width="2.44140625" customWidth="1"/>
    <col min="2" max="2" width="12.44140625" customWidth="1"/>
    <col min="3" max="3" width="17.44140625" customWidth="1"/>
    <col min="4" max="4" width="18.44140625" customWidth="1"/>
    <col min="5" max="5" width="13.33203125" bestFit="1" customWidth="1"/>
    <col min="6" max="6" width="14" style="5" customWidth="1"/>
    <col min="7" max="7" width="9.6640625" style="5" customWidth="1"/>
    <col min="8" max="8" width="18.5546875" style="5" bestFit="1" customWidth="1"/>
    <col min="9" max="9" width="8.5546875" style="5" customWidth="1"/>
    <col min="10" max="10" width="9.5546875" customWidth="1"/>
    <col min="11" max="11" width="9" customWidth="1"/>
    <col min="12" max="12" width="8.109375" hidden="1" customWidth="1"/>
    <col min="13" max="13" width="9.109375" customWidth="1"/>
  </cols>
  <sheetData>
    <row r="1" spans="2:12" x14ac:dyDescent="0.3">
      <c r="B1" s="16" t="s">
        <v>74</v>
      </c>
    </row>
    <row r="3" spans="2:12" s="3" customFormat="1" ht="28.8" x14ac:dyDescent="0.3">
      <c r="B3" s="30" t="s">
        <v>0</v>
      </c>
      <c r="C3" s="30" t="s">
        <v>1</v>
      </c>
      <c r="D3" s="4" t="s">
        <v>2</v>
      </c>
      <c r="E3" s="43" t="s">
        <v>3</v>
      </c>
      <c r="F3" s="44"/>
      <c r="G3" s="44"/>
      <c r="H3" s="44"/>
      <c r="I3" s="45"/>
      <c r="J3" s="43" t="s">
        <v>9</v>
      </c>
      <c r="K3" s="45"/>
    </row>
    <row r="4" spans="2:12" s="1" customFormat="1" ht="50.25" customHeight="1" x14ac:dyDescent="0.3">
      <c r="B4" s="19"/>
      <c r="C4" s="20"/>
      <c r="D4" s="21"/>
      <c r="E4" s="27" t="s">
        <v>4</v>
      </c>
      <c r="F4" s="46" t="s">
        <v>5</v>
      </c>
      <c r="G4" s="46"/>
      <c r="H4" s="46" t="s">
        <v>6</v>
      </c>
      <c r="I4" s="46"/>
      <c r="J4" s="27" t="s">
        <v>8</v>
      </c>
      <c r="K4" s="27" t="s">
        <v>7</v>
      </c>
      <c r="L4" s="6" t="s">
        <v>16</v>
      </c>
    </row>
    <row r="5" spans="2:12" s="1" customFormat="1" ht="16.5" customHeight="1" x14ac:dyDescent="0.3">
      <c r="B5" s="2"/>
      <c r="C5" s="2"/>
      <c r="D5" s="2"/>
      <c r="E5" s="2"/>
      <c r="F5" s="28" t="s">
        <v>13</v>
      </c>
      <c r="G5" s="28" t="s">
        <v>14</v>
      </c>
      <c r="H5" s="28" t="s">
        <v>13</v>
      </c>
      <c r="I5" s="29" t="s">
        <v>14</v>
      </c>
      <c r="J5" s="8"/>
      <c r="K5" s="2"/>
    </row>
    <row r="6" spans="2:12" x14ac:dyDescent="0.3">
      <c r="B6" s="9" t="s">
        <v>32</v>
      </c>
      <c r="C6" s="9" t="s">
        <v>10</v>
      </c>
      <c r="D6" s="9" t="s">
        <v>41</v>
      </c>
      <c r="E6" s="9">
        <f>8+16</f>
        <v>24</v>
      </c>
      <c r="F6" s="10">
        <f>H6*44%</f>
        <v>587319.92000000004</v>
      </c>
      <c r="G6" s="10">
        <f t="shared" ref="G6:G8" si="0">IFERROR(F6/E6,0)</f>
        <v>24471.663333333334</v>
      </c>
      <c r="H6" s="10">
        <f>258816+1076002</f>
        <v>1334818</v>
      </c>
      <c r="I6" s="10">
        <f t="shared" ref="I6:I8" si="1">IFERROR(H6/E6,0)</f>
        <v>55617.416666666664</v>
      </c>
      <c r="J6" s="8">
        <f t="shared" ref="J6:J43" si="2">IFERROR(100-K6,0)</f>
        <v>100</v>
      </c>
      <c r="K6" s="8">
        <f>IFERROR(L6/E6%,0)</f>
        <v>0</v>
      </c>
      <c r="L6">
        <v>0</v>
      </c>
    </row>
    <row r="7" spans="2:12" x14ac:dyDescent="0.3">
      <c r="B7" s="9"/>
      <c r="C7" s="9"/>
      <c r="D7" s="9" t="s">
        <v>23</v>
      </c>
      <c r="E7" s="9">
        <v>135</v>
      </c>
      <c r="F7" s="10">
        <f t="shared" ref="F7:F42" si="3">H7*44%</f>
        <v>4207155.04</v>
      </c>
      <c r="G7" s="10">
        <f t="shared" si="0"/>
        <v>31164.111407407407</v>
      </c>
      <c r="H7" s="10">
        <v>9561716</v>
      </c>
      <c r="I7" s="10">
        <f t="shared" si="1"/>
        <v>70827.525925925933</v>
      </c>
      <c r="J7" s="8">
        <f t="shared" ref="J7:J11" si="4">IFERROR(100-K7,0)</f>
        <v>99.259259259259252</v>
      </c>
      <c r="K7" s="8">
        <f t="shared" ref="K7:K43" si="5">IFERROR(L7/E7%,0)</f>
        <v>0.7407407407407407</v>
      </c>
      <c r="L7">
        <v>1</v>
      </c>
    </row>
    <row r="8" spans="2:12" x14ac:dyDescent="0.3">
      <c r="B8" s="9"/>
      <c r="C8" s="9"/>
      <c r="D8" s="9" t="s">
        <v>22</v>
      </c>
      <c r="E8" s="9">
        <v>967</v>
      </c>
      <c r="F8" s="10">
        <f t="shared" si="3"/>
        <v>37027200.32</v>
      </c>
      <c r="G8" s="10">
        <f t="shared" si="0"/>
        <v>38290.796608066186</v>
      </c>
      <c r="H8" s="10">
        <v>84152728</v>
      </c>
      <c r="I8" s="10">
        <f t="shared" si="1"/>
        <v>87024.537745604961</v>
      </c>
      <c r="J8" s="8">
        <f t="shared" si="4"/>
        <v>98.345398138572904</v>
      </c>
      <c r="K8" s="8">
        <f t="shared" si="5"/>
        <v>1.6546018614270941</v>
      </c>
      <c r="L8">
        <v>16</v>
      </c>
    </row>
    <row r="9" spans="2:12" x14ac:dyDescent="0.3">
      <c r="B9" s="9"/>
      <c r="C9" s="9"/>
      <c r="D9" s="9" t="s">
        <v>21</v>
      </c>
      <c r="E9" s="9">
        <v>314</v>
      </c>
      <c r="F9" s="10">
        <f t="shared" si="3"/>
        <v>13018724.4</v>
      </c>
      <c r="G9" s="10">
        <f t="shared" ref="G9:G18" si="6">IFERROR(F9/E9,0)</f>
        <v>41460.905732484076</v>
      </c>
      <c r="H9" s="10">
        <v>29588010</v>
      </c>
      <c r="I9" s="10">
        <f t="shared" ref="I9:I18" si="7">IFERROR(H9/E9,0)</f>
        <v>94229.331210191085</v>
      </c>
      <c r="J9" s="8">
        <f t="shared" si="4"/>
        <v>99.363057324840767</v>
      </c>
      <c r="K9" s="8">
        <f t="shared" si="5"/>
        <v>0.63694267515923564</v>
      </c>
      <c r="L9">
        <v>2</v>
      </c>
    </row>
    <row r="10" spans="2:12" x14ac:dyDescent="0.3">
      <c r="B10" s="9"/>
      <c r="C10" s="9" t="s">
        <v>12</v>
      </c>
      <c r="D10" s="9" t="s">
        <v>15</v>
      </c>
      <c r="E10" s="9">
        <v>1216</v>
      </c>
      <c r="F10" s="10">
        <f t="shared" si="3"/>
        <v>57045646.240000002</v>
      </c>
      <c r="G10" s="10">
        <f t="shared" si="6"/>
        <v>46912.538026315793</v>
      </c>
      <c r="H10" s="10">
        <v>129649196</v>
      </c>
      <c r="I10" s="10">
        <f t="shared" si="7"/>
        <v>106619.40460526316</v>
      </c>
      <c r="J10" s="8">
        <f t="shared" si="4"/>
        <v>98.684210526315795</v>
      </c>
      <c r="K10" s="8">
        <f t="shared" si="5"/>
        <v>1.3157894736842106</v>
      </c>
      <c r="L10">
        <f>10+3+1+1+1</f>
        <v>16</v>
      </c>
    </row>
    <row r="11" spans="2:12" x14ac:dyDescent="0.3">
      <c r="B11" s="9"/>
      <c r="C11" s="9"/>
      <c r="D11" s="9" t="s">
        <v>73</v>
      </c>
      <c r="E11" s="9">
        <f>143+3+1</f>
        <v>147</v>
      </c>
      <c r="F11" s="10">
        <f t="shared" si="3"/>
        <v>8403729.4000000004</v>
      </c>
      <c r="G11" s="10">
        <f t="shared" si="6"/>
        <v>57168.227210884354</v>
      </c>
      <c r="H11" s="10">
        <f>18333047+545940+220398</f>
        <v>19099385</v>
      </c>
      <c r="I11" s="10">
        <f t="shared" si="7"/>
        <v>129927.78911564626</v>
      </c>
      <c r="J11" s="8">
        <f t="shared" si="4"/>
        <v>100</v>
      </c>
      <c r="K11" s="8">
        <f t="shared" si="5"/>
        <v>0</v>
      </c>
      <c r="L11">
        <v>0</v>
      </c>
    </row>
    <row r="12" spans="2:12" s="16" customFormat="1" x14ac:dyDescent="0.3">
      <c r="B12" s="13"/>
      <c r="C12" s="12" t="s">
        <v>32</v>
      </c>
      <c r="D12" s="12" t="s">
        <v>24</v>
      </c>
      <c r="E12" s="13">
        <f>SUM(E6:E11)</f>
        <v>2803</v>
      </c>
      <c r="F12" s="14">
        <f>SUM(F6:F11)</f>
        <v>120289775.32000001</v>
      </c>
      <c r="G12" s="10">
        <f t="shared" si="6"/>
        <v>42914.654056368177</v>
      </c>
      <c r="H12" s="14">
        <f>SUM(H6:H11)</f>
        <v>273385853</v>
      </c>
      <c r="I12" s="10">
        <f t="shared" si="7"/>
        <v>97533.304673564038</v>
      </c>
      <c r="J12" s="15"/>
      <c r="K12" s="15"/>
      <c r="L12" s="16">
        <f>SUM(L6:L11)</f>
        <v>35</v>
      </c>
    </row>
    <row r="13" spans="2:12" x14ac:dyDescent="0.3">
      <c r="B13" s="40" t="s">
        <v>35</v>
      </c>
      <c r="C13" s="9" t="s">
        <v>10</v>
      </c>
      <c r="D13" s="9" t="s">
        <v>55</v>
      </c>
      <c r="E13" s="9">
        <v>33</v>
      </c>
      <c r="F13" s="10">
        <f t="shared" si="3"/>
        <v>670570.12</v>
      </c>
      <c r="G13" s="10">
        <f t="shared" si="6"/>
        <v>20320.306666666667</v>
      </c>
      <c r="H13" s="10">
        <v>1524023</v>
      </c>
      <c r="I13" s="10">
        <f t="shared" si="7"/>
        <v>46182.515151515152</v>
      </c>
      <c r="J13" s="8">
        <f t="shared" ref="J13:J18" si="8">IFERROR(100-K13,0)</f>
        <v>100</v>
      </c>
      <c r="K13" s="8">
        <f t="shared" si="5"/>
        <v>0</v>
      </c>
      <c r="L13">
        <v>0</v>
      </c>
    </row>
    <row r="14" spans="2:12" x14ac:dyDescent="0.3">
      <c r="B14" s="41"/>
      <c r="C14" s="9" t="s">
        <v>10</v>
      </c>
      <c r="D14" s="9" t="s">
        <v>56</v>
      </c>
      <c r="E14" s="9">
        <v>5</v>
      </c>
      <c r="F14" s="10">
        <f t="shared" si="3"/>
        <v>120560</v>
      </c>
      <c r="G14" s="10">
        <f t="shared" ref="G14" si="9">IFERROR(F14/E14,0)</f>
        <v>24112</v>
      </c>
      <c r="H14" s="10">
        <v>274000</v>
      </c>
      <c r="I14" s="10">
        <f t="shared" ref="I14" si="10">IFERROR(H14/E14,0)</f>
        <v>54800</v>
      </c>
      <c r="J14" s="8">
        <f t="shared" si="8"/>
        <v>100</v>
      </c>
      <c r="K14" s="8">
        <f t="shared" si="5"/>
        <v>0</v>
      </c>
      <c r="L14">
        <v>0</v>
      </c>
    </row>
    <row r="15" spans="2:12" x14ac:dyDescent="0.3">
      <c r="B15" s="41"/>
      <c r="C15" s="9"/>
      <c r="D15" s="9" t="s">
        <v>11</v>
      </c>
      <c r="E15" s="9">
        <v>348</v>
      </c>
      <c r="F15" s="10">
        <f t="shared" si="3"/>
        <v>10025774.880000001</v>
      </c>
      <c r="G15" s="10">
        <f t="shared" ref="G15" si="11">IFERROR(F15/E15,0)</f>
        <v>28809.697931034487</v>
      </c>
      <c r="H15" s="10">
        <v>22785852</v>
      </c>
      <c r="I15" s="10">
        <f t="shared" ref="I15" si="12">IFERROR(H15/E15,0)</f>
        <v>65476.586206896551</v>
      </c>
      <c r="J15" s="8">
        <f t="shared" si="8"/>
        <v>98.563218390804593</v>
      </c>
      <c r="K15" s="8">
        <f t="shared" si="5"/>
        <v>1.4367816091954022</v>
      </c>
      <c r="L15">
        <v>5</v>
      </c>
    </row>
    <row r="16" spans="2:12" ht="15" customHeight="1" x14ac:dyDescent="0.3">
      <c r="B16" s="41"/>
      <c r="C16" s="9"/>
      <c r="D16" s="9" t="s">
        <v>23</v>
      </c>
      <c r="E16" s="9">
        <v>247</v>
      </c>
      <c r="F16" s="10">
        <f t="shared" si="3"/>
        <v>8164644.8399999999</v>
      </c>
      <c r="G16" s="10">
        <f t="shared" si="6"/>
        <v>33055.242267206479</v>
      </c>
      <c r="H16" s="10">
        <v>18556011</v>
      </c>
      <c r="I16" s="10">
        <f t="shared" si="7"/>
        <v>75125.550607287456</v>
      </c>
      <c r="J16" s="8">
        <f t="shared" si="8"/>
        <v>99.190283400809719</v>
      </c>
      <c r="K16" s="8">
        <f t="shared" si="5"/>
        <v>0.80971659919028338</v>
      </c>
      <c r="L16">
        <v>2</v>
      </c>
    </row>
    <row r="17" spans="2:12" x14ac:dyDescent="0.3">
      <c r="B17" s="41"/>
      <c r="C17" s="9"/>
      <c r="D17" s="9" t="s">
        <v>22</v>
      </c>
      <c r="E17" s="9">
        <v>225</v>
      </c>
      <c r="F17" s="10">
        <f t="shared" si="3"/>
        <v>8445426.8800000008</v>
      </c>
      <c r="G17" s="10">
        <f t="shared" si="6"/>
        <v>37535.23057777778</v>
      </c>
      <c r="H17" s="10">
        <v>19194152</v>
      </c>
      <c r="I17" s="10">
        <f t="shared" si="7"/>
        <v>85307.342222222229</v>
      </c>
      <c r="J17" s="8">
        <f t="shared" si="8"/>
        <v>98.222222222222229</v>
      </c>
      <c r="K17" s="8">
        <f t="shared" si="5"/>
        <v>1.7777777777777777</v>
      </c>
      <c r="L17">
        <v>4</v>
      </c>
    </row>
    <row r="18" spans="2:12" x14ac:dyDescent="0.3">
      <c r="B18" s="41"/>
      <c r="C18" s="9"/>
      <c r="D18" s="9" t="s">
        <v>21</v>
      </c>
      <c r="E18" s="9">
        <v>822</v>
      </c>
      <c r="F18" s="10">
        <f t="shared" si="3"/>
        <v>34024433.520000003</v>
      </c>
      <c r="G18" s="10">
        <f t="shared" si="6"/>
        <v>41392.254890510951</v>
      </c>
      <c r="H18" s="10">
        <v>77328258</v>
      </c>
      <c r="I18" s="10">
        <f t="shared" si="7"/>
        <v>94073.306569343069</v>
      </c>
      <c r="J18" s="8">
        <f t="shared" si="8"/>
        <v>99.391727493917273</v>
      </c>
      <c r="K18" s="8">
        <f t="shared" si="5"/>
        <v>0.60827250608272498</v>
      </c>
      <c r="L18">
        <v>5</v>
      </c>
    </row>
    <row r="19" spans="2:12" ht="15" customHeight="1" x14ac:dyDescent="0.3">
      <c r="B19" s="42"/>
      <c r="C19" s="9" t="s">
        <v>40</v>
      </c>
      <c r="D19" s="9" t="s">
        <v>15</v>
      </c>
      <c r="E19" s="9">
        <v>938</v>
      </c>
      <c r="F19" s="10">
        <f t="shared" si="3"/>
        <v>44637696.840000004</v>
      </c>
      <c r="G19" s="10">
        <f t="shared" ref="G19:G44" si="13">IFERROR(F19/E19,0)</f>
        <v>47588.16294243071</v>
      </c>
      <c r="H19" s="10">
        <v>101449311</v>
      </c>
      <c r="I19" s="10">
        <f t="shared" ref="I19:I25" si="14">IFERROR(H19/E19,0)</f>
        <v>108154.9157782516</v>
      </c>
      <c r="J19" s="8">
        <f t="shared" si="2"/>
        <v>98.720682302771849</v>
      </c>
      <c r="K19" s="8">
        <f t="shared" si="5"/>
        <v>1.2793176972281448</v>
      </c>
      <c r="L19">
        <v>12</v>
      </c>
    </row>
    <row r="20" spans="2:12" x14ac:dyDescent="0.3">
      <c r="B20" s="9"/>
      <c r="C20" s="9"/>
      <c r="D20" s="9" t="s">
        <v>17</v>
      </c>
      <c r="E20" s="9">
        <v>165</v>
      </c>
      <c r="F20" s="10">
        <f t="shared" si="3"/>
        <v>9193836.9600000009</v>
      </c>
      <c r="G20" s="10">
        <f t="shared" si="13"/>
        <v>55720.224000000002</v>
      </c>
      <c r="H20" s="10">
        <v>20895084</v>
      </c>
      <c r="I20" s="10">
        <f t="shared" si="14"/>
        <v>126636.87272727273</v>
      </c>
      <c r="J20" s="8">
        <f t="shared" si="2"/>
        <v>100</v>
      </c>
      <c r="K20" s="8">
        <f t="shared" si="5"/>
        <v>0</v>
      </c>
      <c r="L20">
        <v>0</v>
      </c>
    </row>
    <row r="21" spans="2:12" x14ac:dyDescent="0.3">
      <c r="B21" s="9"/>
      <c r="C21" s="9"/>
      <c r="D21" s="9" t="s">
        <v>18</v>
      </c>
      <c r="E21" s="9">
        <v>210</v>
      </c>
      <c r="F21" s="10">
        <f t="shared" si="3"/>
        <v>13677815.800000001</v>
      </c>
      <c r="G21" s="10">
        <f t="shared" si="13"/>
        <v>65132.456190476194</v>
      </c>
      <c r="H21" s="10">
        <v>31085945</v>
      </c>
      <c r="I21" s="10">
        <f t="shared" si="14"/>
        <v>148028.30952380953</v>
      </c>
      <c r="J21" s="8">
        <f t="shared" si="2"/>
        <v>99.523809523809518</v>
      </c>
      <c r="K21" s="8">
        <f t="shared" si="5"/>
        <v>0.47619047619047616</v>
      </c>
      <c r="L21">
        <v>1</v>
      </c>
    </row>
    <row r="22" spans="2:12" x14ac:dyDescent="0.3">
      <c r="B22" s="9"/>
      <c r="C22" s="9"/>
      <c r="D22" s="9" t="s">
        <v>19</v>
      </c>
      <c r="E22" s="9">
        <v>204</v>
      </c>
      <c r="F22" s="10">
        <f t="shared" si="3"/>
        <v>14884624.92</v>
      </c>
      <c r="G22" s="10">
        <f t="shared" si="13"/>
        <v>72963.847647058821</v>
      </c>
      <c r="H22" s="10">
        <v>33828693</v>
      </c>
      <c r="I22" s="10">
        <f t="shared" si="14"/>
        <v>165826.92647058822</v>
      </c>
      <c r="J22" s="8">
        <f t="shared" si="2"/>
        <v>100</v>
      </c>
      <c r="K22" s="8">
        <f t="shared" si="5"/>
        <v>0</v>
      </c>
      <c r="L22">
        <v>0</v>
      </c>
    </row>
    <row r="23" spans="2:12" x14ac:dyDescent="0.3">
      <c r="B23" s="9"/>
      <c r="C23" s="9"/>
      <c r="D23" s="9" t="s">
        <v>20</v>
      </c>
      <c r="E23" s="9">
        <v>177</v>
      </c>
      <c r="F23" s="10">
        <f t="shared" si="3"/>
        <v>14456054.800000001</v>
      </c>
      <c r="G23" s="10">
        <f t="shared" si="13"/>
        <v>81672.625988700573</v>
      </c>
      <c r="H23" s="10">
        <v>32854670</v>
      </c>
      <c r="I23" s="10">
        <f t="shared" si="14"/>
        <v>185619.604519774</v>
      </c>
      <c r="J23" s="8">
        <f t="shared" si="2"/>
        <v>100</v>
      </c>
      <c r="K23" s="8">
        <f t="shared" si="5"/>
        <v>0</v>
      </c>
      <c r="L23">
        <v>0</v>
      </c>
    </row>
    <row r="24" spans="2:12" x14ac:dyDescent="0.3">
      <c r="B24" s="9"/>
      <c r="C24" s="9"/>
      <c r="D24" s="9" t="s">
        <v>51</v>
      </c>
      <c r="E24" s="9">
        <f>15+18+4+1+1+1+1+1</f>
        <v>42</v>
      </c>
      <c r="F24" s="10">
        <f t="shared" si="3"/>
        <v>4300225.16</v>
      </c>
      <c r="G24" s="10">
        <f t="shared" si="13"/>
        <v>102386.31333333334</v>
      </c>
      <c r="H24" s="10">
        <f>3018744+4152136+1013066+260000+291778+297182+370000+370333</f>
        <v>9773239</v>
      </c>
      <c r="I24" s="10">
        <f t="shared" si="14"/>
        <v>232696.16666666666</v>
      </c>
      <c r="J24" s="8">
        <f t="shared" ref="J24" si="15">IFERROR(100-K24,0)</f>
        <v>100</v>
      </c>
      <c r="K24" s="8">
        <f t="shared" si="5"/>
        <v>0</v>
      </c>
      <c r="L24">
        <v>0</v>
      </c>
    </row>
    <row r="25" spans="2:12" x14ac:dyDescent="0.3">
      <c r="B25" s="9"/>
      <c r="C25" s="12" t="s">
        <v>36</v>
      </c>
      <c r="D25" s="12" t="s">
        <v>24</v>
      </c>
      <c r="E25" s="13">
        <f>SUM(E13:E24)</f>
        <v>3416</v>
      </c>
      <c r="F25" s="14">
        <f>SUM(F13:F24)</f>
        <v>162601664.72000003</v>
      </c>
      <c r="G25" s="10">
        <f t="shared" si="13"/>
        <v>47600.018946135839</v>
      </c>
      <c r="H25" s="14">
        <f>SUM(H13:H24)</f>
        <v>369549238</v>
      </c>
      <c r="I25" s="10">
        <f t="shared" si="14"/>
        <v>108181.8612412178</v>
      </c>
      <c r="J25" s="8"/>
      <c r="K25" s="8"/>
      <c r="L25" s="16">
        <f>SUM(L13:L24)</f>
        <v>29</v>
      </c>
    </row>
    <row r="26" spans="2:12" x14ac:dyDescent="0.3">
      <c r="B26" s="9" t="s">
        <v>33</v>
      </c>
      <c r="C26" s="9" t="s">
        <v>37</v>
      </c>
      <c r="D26" s="9" t="s">
        <v>42</v>
      </c>
      <c r="E26" s="9">
        <v>229</v>
      </c>
      <c r="F26" s="10">
        <f t="shared" si="3"/>
        <v>5716876</v>
      </c>
      <c r="G26" s="10">
        <f t="shared" ref="G26:G31" si="16">IFERROR(F26/E26,0)</f>
        <v>24964.524017467247</v>
      </c>
      <c r="H26" s="10">
        <v>12992900</v>
      </c>
      <c r="I26" s="10">
        <f t="shared" ref="I26:I34" si="17">IFERROR(H26/E26,0)</f>
        <v>56737.554585152837</v>
      </c>
      <c r="J26" s="8">
        <f t="shared" ref="J26:J34" si="18">IFERROR(100-K26,0)</f>
        <v>97.379912663755462</v>
      </c>
      <c r="K26" s="8">
        <f t="shared" si="5"/>
        <v>2.6200873362445414</v>
      </c>
      <c r="L26">
        <v>6</v>
      </c>
    </row>
    <row r="27" spans="2:12" x14ac:dyDescent="0.3">
      <c r="B27" s="9"/>
      <c r="C27" s="9"/>
      <c r="D27" s="9" t="s">
        <v>11</v>
      </c>
      <c r="E27" s="9">
        <v>797</v>
      </c>
      <c r="F27" s="10">
        <f t="shared" si="3"/>
        <v>23369329.280000001</v>
      </c>
      <c r="G27" s="10">
        <f t="shared" si="16"/>
        <v>29321.617666248432</v>
      </c>
      <c r="H27" s="10">
        <v>53112112</v>
      </c>
      <c r="I27" s="10">
        <f t="shared" si="17"/>
        <v>66640.040150564615</v>
      </c>
      <c r="J27" s="8">
        <f t="shared" si="18"/>
        <v>98.368883312421588</v>
      </c>
      <c r="K27" s="8">
        <f t="shared" si="5"/>
        <v>1.6311166875784191</v>
      </c>
      <c r="L27">
        <v>13</v>
      </c>
    </row>
    <row r="28" spans="2:12" x14ac:dyDescent="0.3">
      <c r="B28" s="9"/>
      <c r="C28" s="9"/>
      <c r="D28" s="9" t="s">
        <v>23</v>
      </c>
      <c r="E28" s="9">
        <v>575</v>
      </c>
      <c r="F28" s="10">
        <f t="shared" si="3"/>
        <v>19014003.800000001</v>
      </c>
      <c r="G28" s="10">
        <f t="shared" si="16"/>
        <v>33067.832695652178</v>
      </c>
      <c r="H28" s="10">
        <v>43213645</v>
      </c>
      <c r="I28" s="10">
        <f t="shared" si="17"/>
        <v>75154.165217391303</v>
      </c>
      <c r="J28" s="8">
        <f t="shared" si="18"/>
        <v>97.913043478260875</v>
      </c>
      <c r="K28" s="8">
        <f t="shared" si="5"/>
        <v>2.0869565217391304</v>
      </c>
      <c r="L28">
        <v>12</v>
      </c>
    </row>
    <row r="29" spans="2:12" x14ac:dyDescent="0.3">
      <c r="B29" s="9"/>
      <c r="C29" s="9"/>
      <c r="D29" s="9" t="s">
        <v>22</v>
      </c>
      <c r="E29" s="9">
        <v>167</v>
      </c>
      <c r="F29" s="10">
        <f t="shared" si="3"/>
        <v>6322116.2400000002</v>
      </c>
      <c r="G29" s="10">
        <f t="shared" si="16"/>
        <v>37856.983473053893</v>
      </c>
      <c r="H29" s="10">
        <v>14368446</v>
      </c>
      <c r="I29" s="10">
        <f t="shared" si="17"/>
        <v>86038.598802395209</v>
      </c>
      <c r="J29" s="8">
        <f t="shared" si="18"/>
        <v>99.401197604790426</v>
      </c>
      <c r="K29" s="8">
        <f t="shared" si="5"/>
        <v>0.5988023952095809</v>
      </c>
      <c r="L29">
        <v>1</v>
      </c>
    </row>
    <row r="30" spans="2:12" x14ac:dyDescent="0.3">
      <c r="B30" s="9"/>
      <c r="C30" s="9"/>
      <c r="D30" s="9" t="s">
        <v>21</v>
      </c>
      <c r="E30" s="9">
        <v>963</v>
      </c>
      <c r="F30" s="10">
        <f t="shared" si="3"/>
        <v>41258653.920000002</v>
      </c>
      <c r="G30" s="10">
        <f t="shared" si="16"/>
        <v>42843.877383177569</v>
      </c>
      <c r="H30" s="10">
        <v>93769668</v>
      </c>
      <c r="I30" s="10">
        <f t="shared" si="17"/>
        <v>97372.448598130839</v>
      </c>
      <c r="J30" s="8">
        <f t="shared" si="18"/>
        <v>98.961578400830732</v>
      </c>
      <c r="K30" s="8">
        <f t="shared" si="5"/>
        <v>1.0384215991692627</v>
      </c>
      <c r="L30">
        <v>10</v>
      </c>
    </row>
    <row r="31" spans="2:12" x14ac:dyDescent="0.3">
      <c r="B31" s="9"/>
      <c r="C31" s="9"/>
      <c r="D31" s="9" t="s">
        <v>15</v>
      </c>
      <c r="E31" s="9">
        <v>912</v>
      </c>
      <c r="F31" s="10">
        <f t="shared" si="3"/>
        <v>41819336.68</v>
      </c>
      <c r="G31" s="10">
        <f t="shared" si="16"/>
        <v>45854.535833333335</v>
      </c>
      <c r="H31" s="10">
        <v>95043947</v>
      </c>
      <c r="I31" s="10">
        <f t="shared" si="17"/>
        <v>104214.85416666667</v>
      </c>
      <c r="J31" s="8">
        <f t="shared" si="18"/>
        <v>99.232456140350877</v>
      </c>
      <c r="K31" s="8">
        <f t="shared" si="5"/>
        <v>0.76754385964912286</v>
      </c>
      <c r="L31">
        <v>7</v>
      </c>
    </row>
    <row r="32" spans="2:12" x14ac:dyDescent="0.3">
      <c r="B32" s="9"/>
      <c r="C32" s="9"/>
      <c r="D32" s="9" t="s">
        <v>17</v>
      </c>
      <c r="E32" s="9">
        <v>261</v>
      </c>
      <c r="F32" s="10">
        <f t="shared" si="3"/>
        <v>14555026.199999999</v>
      </c>
      <c r="G32" s="10">
        <f t="shared" ref="G32:G34" si="19">IFERROR(F32/E32,0)</f>
        <v>55766.383908045973</v>
      </c>
      <c r="H32" s="10">
        <v>33079605</v>
      </c>
      <c r="I32" s="10">
        <f t="shared" si="17"/>
        <v>126741.7816091954</v>
      </c>
      <c r="J32" s="8">
        <f t="shared" si="18"/>
        <v>96.168582375478934</v>
      </c>
      <c r="K32" s="8">
        <f t="shared" si="5"/>
        <v>3.8314176245210732</v>
      </c>
      <c r="L32">
        <v>10</v>
      </c>
    </row>
    <row r="33" spans="2:12" x14ac:dyDescent="0.3">
      <c r="B33" s="9"/>
      <c r="C33" s="9"/>
      <c r="D33" s="9" t="s">
        <v>18</v>
      </c>
      <c r="E33" s="9">
        <v>19</v>
      </c>
      <c r="F33" s="10">
        <f t="shared" si="3"/>
        <v>1265733.92</v>
      </c>
      <c r="G33" s="10">
        <f t="shared" si="19"/>
        <v>66617.5747368421</v>
      </c>
      <c r="H33" s="10">
        <v>2876668</v>
      </c>
      <c r="I33" s="10">
        <f t="shared" si="17"/>
        <v>151403.57894736843</v>
      </c>
      <c r="J33" s="8">
        <f t="shared" si="18"/>
        <v>100</v>
      </c>
      <c r="K33" s="8">
        <f t="shared" si="5"/>
        <v>0</v>
      </c>
      <c r="L33">
        <v>0</v>
      </c>
    </row>
    <row r="34" spans="2:12" x14ac:dyDescent="0.3">
      <c r="B34" s="9"/>
      <c r="C34" s="9"/>
      <c r="D34" s="9" t="s">
        <v>19</v>
      </c>
      <c r="E34" s="9">
        <v>9</v>
      </c>
      <c r="F34" s="10">
        <f t="shared" ref="F34" si="20">H34*44%</f>
        <v>666273.96</v>
      </c>
      <c r="G34" s="10">
        <f t="shared" si="19"/>
        <v>74030.44</v>
      </c>
      <c r="H34" s="10">
        <v>1514259</v>
      </c>
      <c r="I34" s="10">
        <f t="shared" si="17"/>
        <v>168251</v>
      </c>
      <c r="J34" s="8">
        <f t="shared" si="18"/>
        <v>100</v>
      </c>
      <c r="K34" s="8">
        <f t="shared" si="5"/>
        <v>0</v>
      </c>
      <c r="L34">
        <v>0</v>
      </c>
    </row>
    <row r="35" spans="2:12" x14ac:dyDescent="0.3">
      <c r="B35" s="9"/>
      <c r="C35" s="12" t="s">
        <v>33</v>
      </c>
      <c r="D35" s="12" t="s">
        <v>24</v>
      </c>
      <c r="E35" s="13">
        <f>SUM(E26:E34)</f>
        <v>3932</v>
      </c>
      <c r="F35" s="14">
        <f>SUM(F26:F34)</f>
        <v>153987350</v>
      </c>
      <c r="G35" s="10">
        <f t="shared" si="13"/>
        <v>39162.601729399794</v>
      </c>
      <c r="H35" s="14">
        <f>SUM(H26:H34)</f>
        <v>349971250</v>
      </c>
      <c r="I35" s="10">
        <f>IFERROR(H35/E35,0)</f>
        <v>89005.913021363172</v>
      </c>
      <c r="J35" s="8"/>
      <c r="K35" s="8"/>
      <c r="L35" s="16">
        <f>SUM(L26:L34)</f>
        <v>59</v>
      </c>
    </row>
    <row r="36" spans="2:12" x14ac:dyDescent="0.3">
      <c r="B36" s="9" t="s">
        <v>34</v>
      </c>
      <c r="C36" s="9" t="s">
        <v>10</v>
      </c>
      <c r="D36" s="9" t="s">
        <v>42</v>
      </c>
      <c r="E36" s="9">
        <f>11+90</f>
        <v>101</v>
      </c>
      <c r="F36" s="10">
        <f t="shared" si="3"/>
        <v>2193951.3199999998</v>
      </c>
      <c r="G36" s="10">
        <f t="shared" si="13"/>
        <v>21722.2902970297</v>
      </c>
      <c r="H36" s="10">
        <f>396253+4590000</f>
        <v>4986253</v>
      </c>
      <c r="I36" s="10">
        <f t="shared" ref="I36:I44" si="21">IFERROR(H36/E36,0)</f>
        <v>49368.841584158414</v>
      </c>
      <c r="J36" s="8">
        <f t="shared" si="2"/>
        <v>99.009900990099013</v>
      </c>
      <c r="K36" s="8">
        <f t="shared" si="5"/>
        <v>0.99009900990099009</v>
      </c>
      <c r="L36">
        <v>1</v>
      </c>
    </row>
    <row r="37" spans="2:12" x14ac:dyDescent="0.3">
      <c r="B37" s="9"/>
      <c r="C37" s="9"/>
      <c r="D37" s="9" t="s">
        <v>11</v>
      </c>
      <c r="E37" s="9">
        <f>304-1</f>
        <v>303</v>
      </c>
      <c r="F37" s="10">
        <f t="shared" si="3"/>
        <v>8803728.5600000005</v>
      </c>
      <c r="G37" s="10">
        <f t="shared" si="13"/>
        <v>29055.2097689769</v>
      </c>
      <c r="H37" s="10">
        <f>20071726-63252</f>
        <v>20008474</v>
      </c>
      <c r="I37" s="10">
        <f t="shared" si="21"/>
        <v>66034.567656765677</v>
      </c>
      <c r="J37" s="8">
        <f t="shared" si="2"/>
        <v>96.369636963696365</v>
      </c>
      <c r="K37" s="8">
        <f t="shared" si="5"/>
        <v>3.6303630363036308</v>
      </c>
      <c r="L37">
        <v>11</v>
      </c>
    </row>
    <row r="38" spans="2:12" x14ac:dyDescent="0.3">
      <c r="B38" s="9"/>
      <c r="C38" s="9"/>
      <c r="D38" s="9" t="s">
        <v>23</v>
      </c>
      <c r="E38" s="9">
        <v>575</v>
      </c>
      <c r="F38" s="10">
        <f t="shared" si="3"/>
        <v>19833537.239999998</v>
      </c>
      <c r="G38" s="10">
        <f t="shared" si="13"/>
        <v>34493.108243478258</v>
      </c>
      <c r="H38" s="10">
        <v>45076221</v>
      </c>
      <c r="I38" s="10">
        <f t="shared" si="21"/>
        <v>78393.427826086961</v>
      </c>
      <c r="J38" s="8">
        <f t="shared" si="2"/>
        <v>99.478260869565219</v>
      </c>
      <c r="K38" s="8">
        <f t="shared" si="5"/>
        <v>0.52173913043478259</v>
      </c>
      <c r="L38">
        <v>3</v>
      </c>
    </row>
    <row r="39" spans="2:12" x14ac:dyDescent="0.3">
      <c r="B39" s="9"/>
      <c r="C39" s="9"/>
      <c r="D39" s="9" t="s">
        <v>22</v>
      </c>
      <c r="E39" s="9">
        <v>297</v>
      </c>
      <c r="F39" s="10">
        <f t="shared" si="3"/>
        <v>10753216.76</v>
      </c>
      <c r="G39" s="10">
        <f t="shared" si="13"/>
        <v>36206.117037037038</v>
      </c>
      <c r="H39" s="10">
        <v>24439129</v>
      </c>
      <c r="I39" s="10">
        <f t="shared" si="21"/>
        <v>82286.629629629635</v>
      </c>
      <c r="J39" s="8">
        <f t="shared" si="2"/>
        <v>99.663299663299668</v>
      </c>
      <c r="K39" s="8">
        <f t="shared" si="5"/>
        <v>0.33670033670033667</v>
      </c>
      <c r="L39">
        <v>1</v>
      </c>
    </row>
    <row r="40" spans="2:12" x14ac:dyDescent="0.3">
      <c r="B40" s="9"/>
      <c r="C40" s="9"/>
      <c r="D40" s="9" t="s">
        <v>21</v>
      </c>
      <c r="E40" s="9">
        <v>786</v>
      </c>
      <c r="F40" s="10">
        <f t="shared" si="3"/>
        <v>31978265.440000001</v>
      </c>
      <c r="G40" s="10">
        <f t="shared" si="13"/>
        <v>40684.816081424935</v>
      </c>
      <c r="H40" s="10">
        <v>72677876</v>
      </c>
      <c r="I40" s="10">
        <f t="shared" si="21"/>
        <v>92465.491094147583</v>
      </c>
      <c r="J40" s="8">
        <f t="shared" si="2"/>
        <v>98.9821882951654</v>
      </c>
      <c r="K40" s="8">
        <f t="shared" si="5"/>
        <v>1.0178117048346056</v>
      </c>
      <c r="L40">
        <v>8</v>
      </c>
    </row>
    <row r="41" spans="2:12" x14ac:dyDescent="0.3">
      <c r="B41" s="9"/>
      <c r="C41" s="9" t="s">
        <v>12</v>
      </c>
      <c r="D41" s="9" t="s">
        <v>15</v>
      </c>
      <c r="E41" s="9">
        <v>645</v>
      </c>
      <c r="F41" s="10">
        <f t="shared" si="3"/>
        <v>31897423.800000001</v>
      </c>
      <c r="G41" s="10">
        <f t="shared" si="13"/>
        <v>49453.37023255814</v>
      </c>
      <c r="H41" s="10">
        <v>72494145</v>
      </c>
      <c r="I41" s="10">
        <f t="shared" si="21"/>
        <v>112394.02325581395</v>
      </c>
      <c r="J41" s="8">
        <f t="shared" si="2"/>
        <v>99.224806201550393</v>
      </c>
      <c r="K41" s="8">
        <f t="shared" si="5"/>
        <v>0.77519379844961234</v>
      </c>
      <c r="L41">
        <v>5</v>
      </c>
    </row>
    <row r="42" spans="2:12" x14ac:dyDescent="0.3">
      <c r="B42" s="9"/>
      <c r="C42" s="9"/>
      <c r="D42" s="9" t="s">
        <v>17</v>
      </c>
      <c r="E42" s="9">
        <v>599</v>
      </c>
      <c r="F42" s="10">
        <f t="shared" si="3"/>
        <v>33200990.239999998</v>
      </c>
      <c r="G42" s="10">
        <f t="shared" si="13"/>
        <v>55427.362671118528</v>
      </c>
      <c r="H42" s="10">
        <v>75456796</v>
      </c>
      <c r="I42" s="10">
        <f t="shared" si="21"/>
        <v>125971.27879799667</v>
      </c>
      <c r="J42" s="8">
        <f t="shared" si="2"/>
        <v>98.497495826377289</v>
      </c>
      <c r="K42" s="8">
        <f t="shared" si="5"/>
        <v>1.5025041736227045</v>
      </c>
      <c r="L42">
        <v>9</v>
      </c>
    </row>
    <row r="43" spans="2:12" x14ac:dyDescent="0.3">
      <c r="B43" s="9"/>
      <c r="C43" s="9"/>
      <c r="D43" s="9" t="s">
        <v>54</v>
      </c>
      <c r="E43" s="9">
        <f>55+3+1</f>
        <v>59</v>
      </c>
      <c r="F43" s="10">
        <f t="shared" ref="F43" si="22">H43*44%</f>
        <v>3803802.2</v>
      </c>
      <c r="G43" s="10">
        <f t="shared" si="13"/>
        <v>64471.223728813566</v>
      </c>
      <c r="H43" s="10">
        <f>7974805+490200+180000</f>
        <v>8645005</v>
      </c>
      <c r="I43" s="10">
        <f t="shared" si="21"/>
        <v>146525.50847457626</v>
      </c>
      <c r="J43" s="8">
        <f t="shared" si="2"/>
        <v>100</v>
      </c>
      <c r="K43" s="8">
        <f t="shared" si="5"/>
        <v>0</v>
      </c>
      <c r="L43">
        <v>0</v>
      </c>
    </row>
    <row r="44" spans="2:12" x14ac:dyDescent="0.3">
      <c r="B44" s="9"/>
      <c r="C44" s="12" t="s">
        <v>34</v>
      </c>
      <c r="D44" s="12" t="s">
        <v>24</v>
      </c>
      <c r="E44" s="13">
        <f>SUM(E36:E43)</f>
        <v>3365</v>
      </c>
      <c r="F44" s="14">
        <f>SUM(F36:F43)</f>
        <v>142464915.55999997</v>
      </c>
      <c r="G44" s="10">
        <f t="shared" si="13"/>
        <v>42337.270597325398</v>
      </c>
      <c r="H44" s="14">
        <f>SUM(H36:H43)</f>
        <v>323783899</v>
      </c>
      <c r="I44" s="10">
        <f t="shared" si="21"/>
        <v>96221.069539375923</v>
      </c>
      <c r="J44" s="15"/>
      <c r="K44" s="15"/>
      <c r="L44" s="16">
        <f>SUM(L36:L43)</f>
        <v>38</v>
      </c>
    </row>
    <row r="46" spans="2:12" x14ac:dyDescent="0.3">
      <c r="B46" t="s">
        <v>43</v>
      </c>
    </row>
    <row r="47" spans="2:12" x14ac:dyDescent="0.3">
      <c r="B47" t="s">
        <v>44</v>
      </c>
    </row>
    <row r="49" spans="2:2" x14ac:dyDescent="0.3">
      <c r="B49" t="s">
        <v>45</v>
      </c>
    </row>
    <row r="50" spans="2:2" x14ac:dyDescent="0.3">
      <c r="B50" t="s">
        <v>52</v>
      </c>
    </row>
  </sheetData>
  <sheetProtection sheet="1" objects="1" scenarios="1"/>
  <mergeCells count="5">
    <mergeCell ref="B13:B19"/>
    <mergeCell ref="E3:I3"/>
    <mergeCell ref="J3:K3"/>
    <mergeCell ref="F4:G4"/>
    <mergeCell ref="H4:I4"/>
  </mergeCells>
  <printOptions horizontalCentered="1" verticalCentered="1"/>
  <pageMargins left="0.19685039370078741" right="0.11811023622047245" top="0.19685039370078741" bottom="0.19685039370078741" header="0.11811023622047245" footer="0.11811023622047245"/>
  <pageSetup paperSize="9" scale="73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9"/>
  <sheetViews>
    <sheetView workbookViewId="0">
      <selection activeCell="D20" sqref="D20"/>
    </sheetView>
  </sheetViews>
  <sheetFormatPr defaultRowHeight="14.4" x14ac:dyDescent="0.3"/>
  <cols>
    <col min="2" max="2" width="28.88671875" customWidth="1"/>
    <col min="3" max="3" width="9.109375" style="7"/>
    <col min="4" max="4" width="21" style="5" customWidth="1"/>
    <col min="6" max="6" width="10.109375" bestFit="1" customWidth="1"/>
    <col min="8" max="8" width="15.44140625" customWidth="1"/>
  </cols>
  <sheetData>
    <row r="1" spans="1:6" x14ac:dyDescent="0.3">
      <c r="A1" s="18" t="s">
        <v>25</v>
      </c>
    </row>
    <row r="2" spans="1:6" x14ac:dyDescent="0.3">
      <c r="A2" s="18"/>
    </row>
    <row r="3" spans="1:6" x14ac:dyDescent="0.3">
      <c r="A3" s="18"/>
    </row>
    <row r="4" spans="1:6" x14ac:dyDescent="0.3">
      <c r="A4" s="18"/>
      <c r="B4" s="9"/>
      <c r="C4" s="25" t="s">
        <v>27</v>
      </c>
      <c r="D4" s="26" t="s">
        <v>31</v>
      </c>
    </row>
    <row r="5" spans="1:6" x14ac:dyDescent="0.3">
      <c r="A5" s="18"/>
      <c r="B5" s="11" t="s">
        <v>50</v>
      </c>
      <c r="C5" s="17">
        <v>13731</v>
      </c>
      <c r="D5" s="14">
        <v>1320573567</v>
      </c>
    </row>
    <row r="7" spans="1:6" x14ac:dyDescent="0.3">
      <c r="B7" s="24" t="s">
        <v>26</v>
      </c>
      <c r="C7" s="25" t="s">
        <v>27</v>
      </c>
      <c r="D7" s="26" t="s">
        <v>6</v>
      </c>
    </row>
    <row r="8" spans="1:6" x14ac:dyDescent="0.3">
      <c r="B8" s="9" t="s">
        <v>32</v>
      </c>
      <c r="C8" s="11">
        <f>'Summary by Band-Post code !!!'!$E$12</f>
        <v>2803</v>
      </c>
      <c r="D8" s="10">
        <f>'Summary by Band-Post code !!!'!$H$12</f>
        <v>273385853</v>
      </c>
    </row>
    <row r="9" spans="1:6" x14ac:dyDescent="0.3">
      <c r="B9" s="9" t="s">
        <v>38</v>
      </c>
      <c r="C9" s="11">
        <f>'Summary by Band-Post code !!!'!$E$25</f>
        <v>3416</v>
      </c>
      <c r="D9" s="10">
        <f>'Summary by Band-Post code !!!'!$H$25</f>
        <v>369549238</v>
      </c>
    </row>
    <row r="10" spans="1:6" x14ac:dyDescent="0.3">
      <c r="B10" s="9" t="s">
        <v>33</v>
      </c>
      <c r="C10" s="11">
        <f>'Summary by Band-Post code !!!'!$E$35</f>
        <v>3932</v>
      </c>
      <c r="D10" s="10">
        <f>'Summary by Band-Post code !!!'!$H$35</f>
        <v>349971250</v>
      </c>
    </row>
    <row r="11" spans="1:6" x14ac:dyDescent="0.3">
      <c r="B11" s="9" t="s">
        <v>34</v>
      </c>
      <c r="C11" s="11">
        <f>'Summary by Band-Post code !!!'!$E$44</f>
        <v>3365</v>
      </c>
      <c r="D11" s="10">
        <f>'Summary by Band-Post code !!!'!$H$44</f>
        <v>323783899</v>
      </c>
    </row>
    <row r="12" spans="1:6" s="16" customFormat="1" x14ac:dyDescent="0.3">
      <c r="B12" s="12" t="s">
        <v>39</v>
      </c>
      <c r="C12" s="17">
        <f>SUM(C8:C11)</f>
        <v>13516</v>
      </c>
      <c r="D12" s="14">
        <f>SUM(D8:D11)</f>
        <v>1316690240</v>
      </c>
      <c r="F12" s="31"/>
    </row>
    <row r="13" spans="1:6" x14ac:dyDescent="0.3">
      <c r="B13" s="23" t="s">
        <v>28</v>
      </c>
      <c r="C13" s="11">
        <v>924</v>
      </c>
      <c r="D13" s="10"/>
    </row>
    <row r="14" spans="1:6" x14ac:dyDescent="0.3">
      <c r="B14" s="23" t="s">
        <v>30</v>
      </c>
      <c r="C14" s="11">
        <v>20</v>
      </c>
      <c r="D14" s="10"/>
    </row>
    <row r="15" spans="1:6" x14ac:dyDescent="0.3">
      <c r="B15" s="23" t="s">
        <v>53</v>
      </c>
      <c r="C15" s="11">
        <v>5</v>
      </c>
      <c r="D15" s="10"/>
    </row>
    <row r="16" spans="1:6" x14ac:dyDescent="0.3">
      <c r="B16" s="9"/>
      <c r="C16" s="17">
        <f>SUM(C12:C15)</f>
        <v>14465</v>
      </c>
      <c r="D16" s="10"/>
    </row>
    <row r="18" spans="2:4" x14ac:dyDescent="0.3">
      <c r="B18" t="s">
        <v>48</v>
      </c>
      <c r="C18" s="7">
        <v>14588</v>
      </c>
    </row>
    <row r="19" spans="2:4" x14ac:dyDescent="0.3">
      <c r="B19" t="s">
        <v>49</v>
      </c>
      <c r="C19" s="7">
        <v>38</v>
      </c>
    </row>
    <row r="20" spans="2:4" x14ac:dyDescent="0.3">
      <c r="B20" t="s">
        <v>29</v>
      </c>
      <c r="C20" s="7">
        <v>30</v>
      </c>
    </row>
    <row r="21" spans="2:4" x14ac:dyDescent="0.3">
      <c r="B21" t="s">
        <v>30</v>
      </c>
      <c r="C21" s="7">
        <v>20</v>
      </c>
    </row>
    <row r="22" spans="2:4" x14ac:dyDescent="0.3">
      <c r="B22" t="s">
        <v>53</v>
      </c>
      <c r="C22" s="7">
        <v>5</v>
      </c>
    </row>
    <row r="23" spans="2:4" x14ac:dyDescent="0.3">
      <c r="C23" s="22">
        <f>SUM(C18:C22)</f>
        <v>14681</v>
      </c>
    </row>
    <row r="24" spans="2:4" x14ac:dyDescent="0.3">
      <c r="B24" t="s">
        <v>47</v>
      </c>
      <c r="C24" s="22">
        <v>1</v>
      </c>
    </row>
    <row r="25" spans="2:4" x14ac:dyDescent="0.3">
      <c r="C25" s="22">
        <f>C23-C24</f>
        <v>14680</v>
      </c>
    </row>
    <row r="26" spans="2:4" ht="10.5" customHeight="1" x14ac:dyDescent="0.3"/>
    <row r="27" spans="2:4" x14ac:dyDescent="0.3">
      <c r="C27" s="7">
        <f>C25-C16</f>
        <v>215</v>
      </c>
      <c r="D27" s="5" t="s">
        <v>46</v>
      </c>
    </row>
    <row r="29" spans="2:4" x14ac:dyDescent="0.3">
      <c r="D29" s="7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I27" sqref="I27:I28"/>
    </sheetView>
  </sheetViews>
  <sheetFormatPr defaultRowHeight="14.4" x14ac:dyDescent="0.3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24"/>
  <sheetViews>
    <sheetView workbookViewId="0">
      <selection activeCell="I23" sqref="I23"/>
    </sheetView>
  </sheetViews>
  <sheetFormatPr defaultRowHeight="14.4" x14ac:dyDescent="0.3"/>
  <cols>
    <col min="4" max="4" width="10.6640625" customWidth="1"/>
    <col min="6" max="6" width="16.33203125" customWidth="1"/>
    <col min="8" max="8" width="14.33203125" customWidth="1"/>
    <col min="11" max="11" width="14.6640625" customWidth="1"/>
    <col min="14" max="14" width="16" bestFit="1" customWidth="1"/>
  </cols>
  <sheetData>
    <row r="1" spans="1:14" x14ac:dyDescent="0.3">
      <c r="A1" t="s">
        <v>57</v>
      </c>
    </row>
    <row r="2" spans="1:14" x14ac:dyDescent="0.3">
      <c r="B2" s="9"/>
      <c r="C2" s="9"/>
      <c r="D2" s="9"/>
      <c r="E2" s="9" t="s">
        <v>27</v>
      </c>
      <c r="F2" s="9" t="s">
        <v>59</v>
      </c>
      <c r="G2" s="9" t="s">
        <v>60</v>
      </c>
      <c r="H2" s="9"/>
    </row>
    <row r="3" spans="1:14" x14ac:dyDescent="0.3">
      <c r="B3" s="9" t="s">
        <v>58</v>
      </c>
      <c r="C3" s="9"/>
      <c r="D3" s="9"/>
      <c r="E3" s="37">
        <v>13516</v>
      </c>
      <c r="F3" s="39">
        <v>1316690240</v>
      </c>
      <c r="G3" s="47">
        <f>F3*44%</f>
        <v>579343705.60000002</v>
      </c>
      <c r="H3" s="52"/>
    </row>
    <row r="4" spans="1:14" x14ac:dyDescent="0.3">
      <c r="F4">
        <v>1316</v>
      </c>
    </row>
    <row r="5" spans="1:14" x14ac:dyDescent="0.3">
      <c r="B5" s="50" t="s">
        <v>26</v>
      </c>
      <c r="C5" s="50"/>
      <c r="D5" s="50"/>
      <c r="E5" s="9" t="s">
        <v>27</v>
      </c>
      <c r="F5" s="9" t="s">
        <v>67</v>
      </c>
      <c r="G5" s="9" t="s">
        <v>60</v>
      </c>
      <c r="H5" s="9"/>
    </row>
    <row r="6" spans="1:14" x14ac:dyDescent="0.3">
      <c r="B6" s="51" t="s">
        <v>61</v>
      </c>
      <c r="C6" s="51"/>
      <c r="D6" s="51"/>
      <c r="E6" s="11">
        <f>'Summary by Band-Post code !!!'!E12</f>
        <v>2803</v>
      </c>
      <c r="F6" s="32">
        <f>'Summary by Band-Post code !!!'!H12</f>
        <v>273385853</v>
      </c>
      <c r="G6" s="53">
        <f>'Summary by Band-Post code !!!'!F12</f>
        <v>120289775.32000001</v>
      </c>
      <c r="H6" s="54"/>
    </row>
    <row r="7" spans="1:14" x14ac:dyDescent="0.3">
      <c r="B7" s="51" t="s">
        <v>62</v>
      </c>
      <c r="C7" s="51"/>
      <c r="D7" s="51"/>
      <c r="E7" s="11">
        <f>'Summary by Band-Post code !!!'!E25</f>
        <v>3416</v>
      </c>
      <c r="F7" s="32">
        <f>'Summary by Band-Post code !!!'!H25</f>
        <v>369549238</v>
      </c>
      <c r="G7" s="53">
        <f>'Summary by Band-Post code !!!'!F25</f>
        <v>162601664.72000003</v>
      </c>
      <c r="H7" s="54"/>
    </row>
    <row r="8" spans="1:14" x14ac:dyDescent="0.3">
      <c r="B8" s="51" t="s">
        <v>63</v>
      </c>
      <c r="C8" s="51"/>
      <c r="D8" s="51"/>
      <c r="E8" s="11">
        <f>'Summary by Band-Post code !!!'!E35</f>
        <v>3932</v>
      </c>
      <c r="F8" s="32">
        <f>'Summary by Band-Post code !!!'!H35</f>
        <v>349971250</v>
      </c>
      <c r="G8" s="53">
        <f>'Summary by Band-Post code !!!'!F35</f>
        <v>153987350</v>
      </c>
      <c r="H8" s="54"/>
      <c r="N8" s="38"/>
    </row>
    <row r="9" spans="1:14" x14ac:dyDescent="0.3">
      <c r="B9" s="51" t="s">
        <v>64</v>
      </c>
      <c r="C9" s="51"/>
      <c r="D9" s="51"/>
      <c r="E9" s="11">
        <f>'Summary by Band-Post code !!!'!E44</f>
        <v>3365</v>
      </c>
      <c r="F9" s="32">
        <f>'Summary by Band-Post code !!!'!H44</f>
        <v>323783899</v>
      </c>
      <c r="G9" s="53">
        <f>'Summary by Band-Post code !!!'!F44</f>
        <v>142464915.55999997</v>
      </c>
      <c r="H9" s="54"/>
      <c r="N9" s="38"/>
    </row>
    <row r="10" spans="1:14" x14ac:dyDescent="0.3">
      <c r="B10" s="49" t="s">
        <v>65</v>
      </c>
      <c r="C10" s="49"/>
      <c r="D10" s="49"/>
      <c r="E10" s="36">
        <f>SUM(E6:E9)</f>
        <v>13516</v>
      </c>
      <c r="F10" s="35">
        <f>SUM(F6:F9)</f>
        <v>1316690240</v>
      </c>
      <c r="G10" s="47">
        <f>SUM(G6:H9)</f>
        <v>579343705.60000002</v>
      </c>
      <c r="H10" s="48"/>
      <c r="N10" s="38"/>
    </row>
    <row r="11" spans="1:14" x14ac:dyDescent="0.3">
      <c r="B11" s="55" t="s">
        <v>28</v>
      </c>
      <c r="C11" s="56"/>
      <c r="D11" s="57"/>
      <c r="E11" s="11">
        <v>924</v>
      </c>
      <c r="F11" s="58"/>
      <c r="G11" s="59"/>
      <c r="H11" s="60"/>
    </row>
    <row r="12" spans="1:14" x14ac:dyDescent="0.3">
      <c r="B12" s="55" t="s">
        <v>30</v>
      </c>
      <c r="C12" s="56"/>
      <c r="D12" s="57"/>
      <c r="E12" s="11">
        <v>20</v>
      </c>
      <c r="F12" s="58"/>
      <c r="G12" s="59"/>
      <c r="H12" s="60"/>
    </row>
    <row r="13" spans="1:14" x14ac:dyDescent="0.3">
      <c r="B13" s="55" t="s">
        <v>53</v>
      </c>
      <c r="C13" s="56"/>
      <c r="D13" s="57"/>
      <c r="E13" s="11">
        <v>5</v>
      </c>
      <c r="F13" s="58"/>
      <c r="G13" s="59"/>
      <c r="H13" s="60"/>
    </row>
    <row r="14" spans="1:14" x14ac:dyDescent="0.3">
      <c r="B14" s="55" t="s">
        <v>24</v>
      </c>
      <c r="C14" s="56"/>
      <c r="D14" s="57"/>
      <c r="E14" s="34">
        <f>SUM(E10:E13)</f>
        <v>14465</v>
      </c>
      <c r="F14" s="58"/>
      <c r="G14" s="59"/>
      <c r="H14" s="60"/>
      <c r="K14" s="38"/>
    </row>
    <row r="17" spans="2:13" x14ac:dyDescent="0.3">
      <c r="B17" t="s">
        <v>48</v>
      </c>
      <c r="D17">
        <v>14362</v>
      </c>
    </row>
    <row r="18" spans="2:13" x14ac:dyDescent="0.3">
      <c r="B18" t="s">
        <v>49</v>
      </c>
      <c r="D18">
        <v>38</v>
      </c>
      <c r="H18" s="16" t="s">
        <v>72</v>
      </c>
    </row>
    <row r="19" spans="2:13" x14ac:dyDescent="0.3">
      <c r="B19" t="s">
        <v>29</v>
      </c>
      <c r="D19">
        <v>41</v>
      </c>
      <c r="H19" t="s">
        <v>70</v>
      </c>
      <c r="I19">
        <v>63252</v>
      </c>
      <c r="J19" t="s">
        <v>68</v>
      </c>
      <c r="K19" t="s">
        <v>69</v>
      </c>
      <c r="M19" t="s">
        <v>71</v>
      </c>
    </row>
    <row r="20" spans="2:13" x14ac:dyDescent="0.3">
      <c r="B20" t="s">
        <v>30</v>
      </c>
      <c r="D20">
        <v>20</v>
      </c>
      <c r="I20">
        <f>SUM(I19:I19)</f>
        <v>63252</v>
      </c>
    </row>
    <row r="21" spans="2:13" x14ac:dyDescent="0.3">
      <c r="B21" t="s">
        <v>53</v>
      </c>
      <c r="D21">
        <v>5</v>
      </c>
    </row>
    <row r="22" spans="2:13" x14ac:dyDescent="0.3">
      <c r="D22">
        <f>SUM(D17:D21)</f>
        <v>14466</v>
      </c>
    </row>
    <row r="23" spans="2:13" x14ac:dyDescent="0.3">
      <c r="B23" t="s">
        <v>66</v>
      </c>
      <c r="D23">
        <v>1</v>
      </c>
    </row>
    <row r="24" spans="2:13" x14ac:dyDescent="0.3">
      <c r="C24" t="s">
        <v>13</v>
      </c>
      <c r="D24" s="33">
        <f>D22-D23</f>
        <v>14465</v>
      </c>
    </row>
  </sheetData>
  <mergeCells count="20">
    <mergeCell ref="B11:D11"/>
    <mergeCell ref="B12:D12"/>
    <mergeCell ref="B13:D13"/>
    <mergeCell ref="B14:D14"/>
    <mergeCell ref="F11:H11"/>
    <mergeCell ref="F12:H12"/>
    <mergeCell ref="F13:H13"/>
    <mergeCell ref="F14:H14"/>
    <mergeCell ref="G3:H3"/>
    <mergeCell ref="G6:H6"/>
    <mergeCell ref="G7:H7"/>
    <mergeCell ref="G8:H8"/>
    <mergeCell ref="G9:H9"/>
    <mergeCell ref="G10:H10"/>
    <mergeCell ref="B10:D10"/>
    <mergeCell ref="B5:D5"/>
    <mergeCell ref="B6:D6"/>
    <mergeCell ref="B7:D7"/>
    <mergeCell ref="B8:D8"/>
    <mergeCell ref="B9:D9"/>
  </mergeCells>
  <pageMargins left="0.7" right="0.7" top="0.75" bottom="0.75" header="0.3" footer="0.3"/>
  <pageSetup paperSize="9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Summary by Band-Post code !!!</vt:lpstr>
      <vt:lpstr>Summary by Post code</vt:lpstr>
      <vt:lpstr>Sheet1</vt:lpstr>
      <vt:lpstr>Summary totals</vt:lpstr>
    </vt:vector>
  </TitlesOfParts>
  <Company>NTC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grus0406</dc:creator>
  <cp:lastModifiedBy>Mark Stephens</cp:lastModifiedBy>
  <cp:lastPrinted>2018-04-16T09:48:49Z</cp:lastPrinted>
  <dcterms:created xsi:type="dcterms:W3CDTF">2015-03-18T10:44:35Z</dcterms:created>
  <dcterms:modified xsi:type="dcterms:W3CDTF">2021-05-25T11:49:13Z</dcterms:modified>
</cp:coreProperties>
</file>